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10995" activeTab="0"/>
  </bookViews>
  <sheets>
    <sheet name="Paddy" sheetId="1" r:id="rId1"/>
    <sheet name="OFC Maha" sheetId="2" r:id="rId2"/>
    <sheet name="OFC Yala" sheetId="3" r:id="rId3"/>
    <sheet name="Vege Maha" sheetId="4" r:id="rId4"/>
    <sheet name="Veg Yala" sheetId="5" r:id="rId5"/>
  </sheets>
  <definedNames/>
  <calcPr fullCalcOnLoad="1"/>
</workbook>
</file>

<file path=xl/sharedStrings.xml><?xml version="1.0" encoding="utf-8"?>
<sst xmlns="http://schemas.openxmlformats.org/spreadsheetml/2006/main" count="948" uniqueCount="146">
  <si>
    <t>District</t>
  </si>
  <si>
    <t>Kurakkan</t>
  </si>
  <si>
    <t>Maize</t>
  </si>
  <si>
    <t>Green Gram</t>
  </si>
  <si>
    <t>Cowpea</t>
  </si>
  <si>
    <t>Soya Bean</t>
  </si>
  <si>
    <t>Black Gram</t>
  </si>
  <si>
    <t>Gingerly</t>
  </si>
  <si>
    <t>Ground Nut</t>
  </si>
  <si>
    <t>Red Onion</t>
  </si>
  <si>
    <t>Big Onion</t>
  </si>
  <si>
    <t>Chilli - Green</t>
  </si>
  <si>
    <t xml:space="preserve">Ext. </t>
  </si>
  <si>
    <t xml:space="preserve">Pro. </t>
  </si>
  <si>
    <t xml:space="preserve"> (ha)</t>
  </si>
  <si>
    <t xml:space="preserve"> (mt)</t>
  </si>
  <si>
    <t>Colombo</t>
  </si>
  <si>
    <t>Gampaha</t>
  </si>
  <si>
    <t>Kalutara</t>
  </si>
  <si>
    <t>Western</t>
  </si>
  <si>
    <t>Kandy</t>
  </si>
  <si>
    <t>Matale</t>
  </si>
  <si>
    <t>Nuwara Eliya</t>
  </si>
  <si>
    <t>Central</t>
  </si>
  <si>
    <t>Galle</t>
  </si>
  <si>
    <t>Matara</t>
  </si>
  <si>
    <t>Hambantota</t>
  </si>
  <si>
    <t>Southern</t>
  </si>
  <si>
    <t>Jaffna</t>
  </si>
  <si>
    <t xml:space="preserve">Kilinochchi </t>
  </si>
  <si>
    <t>Kilinochchi **</t>
  </si>
  <si>
    <t>Mannar</t>
  </si>
  <si>
    <t>Vavunia</t>
  </si>
  <si>
    <t xml:space="preserve">Mullaitivu </t>
  </si>
  <si>
    <t>Mullaitivu **</t>
  </si>
  <si>
    <t>Northern</t>
  </si>
  <si>
    <t>Batticaloa</t>
  </si>
  <si>
    <t>Ampara</t>
  </si>
  <si>
    <t>Trincomalee</t>
  </si>
  <si>
    <t>Eastern</t>
  </si>
  <si>
    <t>Kurunegala</t>
  </si>
  <si>
    <t>Puttalam</t>
  </si>
  <si>
    <t>North Western</t>
  </si>
  <si>
    <t>Anuradhapura</t>
  </si>
  <si>
    <t>Polonnaruwa</t>
  </si>
  <si>
    <t>North Central</t>
  </si>
  <si>
    <t>Badulla</t>
  </si>
  <si>
    <t>Monaragala</t>
  </si>
  <si>
    <t>Uva</t>
  </si>
  <si>
    <t>Ratnapura</t>
  </si>
  <si>
    <t>Kegalle</t>
  </si>
  <si>
    <t>Sabaragamuwa</t>
  </si>
  <si>
    <t>System B</t>
  </si>
  <si>
    <t>System C</t>
  </si>
  <si>
    <t>System G</t>
  </si>
  <si>
    <t>Syestem L</t>
  </si>
  <si>
    <t xml:space="preserve">Mahaweli </t>
  </si>
  <si>
    <t>Sri Lanka</t>
  </si>
  <si>
    <t>Chilli</t>
  </si>
  <si>
    <t>Mahaweli "H"</t>
  </si>
  <si>
    <t>Uda Walawe</t>
  </si>
  <si>
    <t>Mahaweli</t>
  </si>
  <si>
    <t>Type of</t>
  </si>
  <si>
    <t xml:space="preserve">                  Cultivated Extent</t>
  </si>
  <si>
    <t xml:space="preserve">                Average Yield</t>
  </si>
  <si>
    <t xml:space="preserve">                     Production </t>
  </si>
  <si>
    <t>Irrigation</t>
  </si>
  <si>
    <t xml:space="preserve">                       (Hectares)</t>
  </si>
  <si>
    <t xml:space="preserve">                    ( Kg / Ha )</t>
  </si>
  <si>
    <t>( Mt )</t>
  </si>
  <si>
    <t>Maha</t>
  </si>
  <si>
    <t>Yala</t>
  </si>
  <si>
    <t>Major</t>
  </si>
  <si>
    <t>Minor</t>
  </si>
  <si>
    <t>Rainfed</t>
  </si>
  <si>
    <t>Total</t>
  </si>
  <si>
    <t xml:space="preserve">Kalutara </t>
  </si>
  <si>
    <t xml:space="preserve">Galle </t>
  </si>
  <si>
    <t xml:space="preserve">Matara </t>
  </si>
  <si>
    <t xml:space="preserve">                    Production </t>
  </si>
  <si>
    <t xml:space="preserve">Kegalle </t>
  </si>
  <si>
    <t xml:space="preserve">Kurunegala </t>
  </si>
  <si>
    <t xml:space="preserve">Kandy </t>
  </si>
  <si>
    <t xml:space="preserve">Matale </t>
  </si>
  <si>
    <t xml:space="preserve">P'naruwa </t>
  </si>
  <si>
    <t>Kilinoch.</t>
  </si>
  <si>
    <t>Vavuniya</t>
  </si>
  <si>
    <t>Mullativu</t>
  </si>
  <si>
    <t>Walawe</t>
  </si>
  <si>
    <t>Mahaweli 'H '</t>
  </si>
  <si>
    <t>Mahaweli 'B '</t>
  </si>
  <si>
    <t>Mahaweli 'C '</t>
  </si>
  <si>
    <t>Mahaweli 'L '</t>
  </si>
  <si>
    <t>systems</t>
  </si>
  <si>
    <t>OFC</t>
  </si>
  <si>
    <t>Potato</t>
  </si>
  <si>
    <t>Beans</t>
  </si>
  <si>
    <t>Capsicum</t>
  </si>
  <si>
    <t>Tomato</t>
  </si>
  <si>
    <t>Cabbage</t>
  </si>
  <si>
    <t>Carrot</t>
  </si>
  <si>
    <t>Beet Root</t>
  </si>
  <si>
    <t>Raddish</t>
  </si>
  <si>
    <t>Knokhol</t>
  </si>
  <si>
    <t>Leeks</t>
  </si>
  <si>
    <t>Long Beans</t>
  </si>
  <si>
    <t>Bushitovo</t>
  </si>
  <si>
    <t>Okra</t>
  </si>
  <si>
    <t>Lufa</t>
  </si>
  <si>
    <t>Snake Gourd</t>
  </si>
  <si>
    <t>Bitter Gourd</t>
  </si>
  <si>
    <t>Cucumber</t>
  </si>
  <si>
    <t>Pumkin</t>
  </si>
  <si>
    <t>Brinjal</t>
  </si>
  <si>
    <t>Winged Beans</t>
  </si>
  <si>
    <t>Ash Plantain</t>
  </si>
  <si>
    <t>Leafy Vegetable</t>
  </si>
  <si>
    <t>Murunga</t>
  </si>
  <si>
    <t>Ind.Tuber &amp; Root</t>
  </si>
  <si>
    <t>Manioc</t>
  </si>
  <si>
    <t>Sweet Patato</t>
  </si>
  <si>
    <t>Ext.(ha)</t>
  </si>
  <si>
    <t>Pro.(mt)</t>
  </si>
  <si>
    <t xml:space="preserve">         Western</t>
  </si>
  <si>
    <t xml:space="preserve">          Central</t>
  </si>
  <si>
    <t xml:space="preserve">        Southern</t>
  </si>
  <si>
    <t xml:space="preserve">        Northern</t>
  </si>
  <si>
    <t xml:space="preserve">          Eastern</t>
  </si>
  <si>
    <t xml:space="preserve"> North Western</t>
  </si>
  <si>
    <t xml:space="preserve">  North Central</t>
  </si>
  <si>
    <t xml:space="preserve">                  Uva</t>
  </si>
  <si>
    <t>System H</t>
  </si>
  <si>
    <t>System L</t>
  </si>
  <si>
    <t>Mahaweli Area</t>
  </si>
  <si>
    <t>Vegetables</t>
  </si>
  <si>
    <t xml:space="preserve"> Western</t>
  </si>
  <si>
    <t xml:space="preserve"> Uva</t>
  </si>
  <si>
    <t xml:space="preserve"> </t>
  </si>
  <si>
    <t>Indicative Targets for  Paddy - Maha 2015/16  &amp; Yala 2016</t>
  </si>
  <si>
    <t>Mahaweli 'H1 '</t>
  </si>
  <si>
    <t>Indicative Targeted Extent  &amp; Production -  Maha 2015/2016</t>
  </si>
  <si>
    <t>Indicative Targeted Extent &amp; Production  -  Yala 2016</t>
  </si>
  <si>
    <t>Targeted Extent &amp; Production -Maha 2015/2016</t>
  </si>
  <si>
    <t>Targeted Extent &amp; Production -Yala 2016</t>
  </si>
  <si>
    <t>Mahaweli 'G+D '</t>
  </si>
  <si>
    <t>Indicative Targets for Paddy - - Maha 2015/16  &amp; Yala 2016  contd ... 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</si>
</sst>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entury"/>
      <family val="1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Century"/>
      <family val="1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 style="hair"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/>
    </border>
    <border>
      <left style="medium"/>
      <right/>
      <top style="hair"/>
      <bottom style="hair"/>
    </border>
    <border>
      <left style="dotted"/>
      <right style="medium"/>
      <top style="hair"/>
      <bottom style="hair"/>
    </border>
    <border>
      <left style="medium"/>
      <right style="dotted"/>
      <top style="hair"/>
      <bottom style="hair"/>
    </border>
    <border>
      <left style="medium"/>
      <right style="medium"/>
      <top style="hair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3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18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164" fontId="0" fillId="0" borderId="12" xfId="42" applyNumberFormat="1" applyFont="1" applyBorder="1" applyAlignment="1">
      <alignment/>
    </xf>
    <xf numFmtId="0" fontId="47" fillId="0" borderId="14" xfId="0" applyFont="1" applyBorder="1" applyAlignment="1">
      <alignment/>
    </xf>
    <xf numFmtId="164" fontId="47" fillId="0" borderId="14" xfId="42" applyNumberFormat="1" applyFont="1" applyBorder="1" applyAlignment="1">
      <alignment/>
    </xf>
    <xf numFmtId="164" fontId="0" fillId="0" borderId="19" xfId="42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164" fontId="47" fillId="0" borderId="0" xfId="42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42" applyNumberFormat="1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3" xfId="0" applyFont="1" applyBorder="1" applyAlignment="1">
      <alignment/>
    </xf>
    <xf numFmtId="164" fontId="44" fillId="0" borderId="13" xfId="42" applyNumberFormat="1" applyFont="1" applyBorder="1" applyAlignment="1">
      <alignment/>
    </xf>
    <xf numFmtId="0" fontId="44" fillId="0" borderId="14" xfId="0" applyFont="1" applyBorder="1" applyAlignment="1">
      <alignment/>
    </xf>
    <xf numFmtId="164" fontId="44" fillId="0" borderId="14" xfId="42" applyNumberFormat="1" applyFont="1" applyBorder="1" applyAlignment="1">
      <alignment/>
    </xf>
    <xf numFmtId="16" fontId="2" fillId="0" borderId="22" xfId="56" applyNumberFormat="1" applyFont="1" applyFill="1" applyBorder="1" applyAlignment="1">
      <alignment horizontal="center" vertical="center" wrapText="1"/>
      <protection/>
    </xf>
    <xf numFmtId="0" fontId="2" fillId="0" borderId="22" xfId="56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vertical="center"/>
      <protection/>
    </xf>
    <xf numFmtId="3" fontId="2" fillId="0" borderId="23" xfId="56" applyNumberFormat="1" applyFont="1" applyFill="1" applyBorder="1" applyAlignment="1">
      <alignment vertical="center"/>
      <protection/>
    </xf>
    <xf numFmtId="3" fontId="2" fillId="0" borderId="24" xfId="56" applyNumberFormat="1" applyFont="1" applyFill="1" applyBorder="1" applyAlignment="1">
      <alignment vertical="center"/>
      <protection/>
    </xf>
    <xf numFmtId="0" fontId="4" fillId="0" borderId="25" xfId="55" applyFont="1" applyFill="1" applyBorder="1" applyAlignment="1">
      <alignment vertical="center"/>
      <protection/>
    </xf>
    <xf numFmtId="3" fontId="2" fillId="0" borderId="25" xfId="56" applyNumberFormat="1" applyFont="1" applyFill="1" applyBorder="1" applyAlignment="1">
      <alignment vertical="center"/>
      <protection/>
    </xf>
    <xf numFmtId="3" fontId="2" fillId="0" borderId="26" xfId="56" applyNumberFormat="1" applyFont="1" applyFill="1" applyBorder="1" applyAlignment="1">
      <alignment vertical="center"/>
      <protection/>
    </xf>
    <xf numFmtId="3" fontId="2" fillId="0" borderId="27" xfId="56" applyNumberFormat="1" applyFont="1" applyFill="1" applyBorder="1" applyAlignment="1">
      <alignment vertical="center"/>
      <protection/>
    </xf>
    <xf numFmtId="3" fontId="2" fillId="0" borderId="28" xfId="56" applyNumberFormat="1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3" fontId="6" fillId="0" borderId="25" xfId="56" applyNumberFormat="1" applyFont="1" applyFill="1" applyBorder="1" applyAlignment="1">
      <alignment vertical="center"/>
      <protection/>
    </xf>
    <xf numFmtId="3" fontId="6" fillId="0" borderId="29" xfId="56" applyNumberFormat="1" applyFont="1" applyFill="1" applyBorder="1" applyAlignment="1">
      <alignment vertical="center"/>
      <protection/>
    </xf>
    <xf numFmtId="3" fontId="6" fillId="0" borderId="30" xfId="56" applyNumberFormat="1" applyFont="1" applyFill="1" applyBorder="1" applyAlignment="1">
      <alignment vertical="center"/>
      <protection/>
    </xf>
    <xf numFmtId="3" fontId="2" fillId="0" borderId="31" xfId="56" applyNumberFormat="1" applyFont="1" applyFill="1" applyBorder="1" applyAlignment="1">
      <alignment vertical="center"/>
      <protection/>
    </xf>
    <xf numFmtId="0" fontId="5" fillId="0" borderId="28" xfId="55" applyFont="1" applyFill="1" applyBorder="1" applyAlignment="1">
      <alignment vertical="center"/>
      <protection/>
    </xf>
    <xf numFmtId="3" fontId="6" fillId="0" borderId="28" xfId="56" applyNumberFormat="1" applyFont="1" applyFill="1" applyBorder="1" applyAlignment="1">
      <alignment vertical="center"/>
      <protection/>
    </xf>
    <xf numFmtId="0" fontId="5" fillId="0" borderId="22" xfId="55" applyFont="1" applyFill="1" applyBorder="1" applyAlignment="1">
      <alignment vertical="center"/>
      <protection/>
    </xf>
    <xf numFmtId="3" fontId="6" fillId="0" borderId="22" xfId="56" applyNumberFormat="1" applyFont="1" applyBorder="1">
      <alignment/>
      <protection/>
    </xf>
    <xf numFmtId="16" fontId="4" fillId="0" borderId="22" xfId="56" applyNumberFormat="1" applyFont="1" applyFill="1" applyBorder="1" applyAlignment="1">
      <alignment horizontal="center" vertical="center" wrapText="1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vertical="center"/>
      <protection/>
    </xf>
    <xf numFmtId="3" fontId="6" fillId="0" borderId="32" xfId="56" applyNumberFormat="1" applyFont="1" applyFill="1" applyBorder="1" applyAlignment="1">
      <alignment vertical="center"/>
      <protection/>
    </xf>
    <xf numFmtId="16" fontId="7" fillId="0" borderId="22" xfId="56" applyNumberFormat="1" applyFont="1" applyFill="1" applyBorder="1" applyAlignment="1">
      <alignment horizontal="center" vertical="center" wrapText="1"/>
      <protection/>
    </xf>
    <xf numFmtId="0" fontId="7" fillId="0" borderId="22" xfId="56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0" fontId="8" fillId="0" borderId="25" xfId="55" applyFont="1" applyFill="1" applyBorder="1" applyAlignment="1">
      <alignment vertical="center"/>
      <protection/>
    </xf>
    <xf numFmtId="0" fontId="8" fillId="0" borderId="32" xfId="55" applyFont="1" applyFill="1" applyBorder="1" applyAlignment="1">
      <alignment vertical="center"/>
      <protection/>
    </xf>
    <xf numFmtId="0" fontId="8" fillId="0" borderId="22" xfId="55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164" fontId="45" fillId="0" borderId="13" xfId="42" applyNumberFormat="1" applyFont="1" applyBorder="1" applyAlignment="1">
      <alignment/>
    </xf>
    <xf numFmtId="164" fontId="27" fillId="0" borderId="13" xfId="42" applyNumberFormat="1" applyFont="1" applyBorder="1" applyAlignment="1">
      <alignment/>
    </xf>
    <xf numFmtId="164" fontId="28" fillId="0" borderId="14" xfId="42" applyNumberFormat="1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1" xfId="0" applyFont="1" applyBorder="1" applyAlignment="1">
      <alignment horizontal="center"/>
    </xf>
    <xf numFmtId="164" fontId="27" fillId="0" borderId="12" xfId="42" applyNumberFormat="1" applyFont="1" applyBorder="1" applyAlignment="1">
      <alignment/>
    </xf>
    <xf numFmtId="0" fontId="27" fillId="0" borderId="19" xfId="0" applyFont="1" applyBorder="1" applyAlignment="1">
      <alignment/>
    </xf>
    <xf numFmtId="164" fontId="28" fillId="0" borderId="0" xfId="42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164" fontId="29" fillId="0" borderId="13" xfId="42" applyNumberFormat="1" applyFont="1" applyBorder="1" applyAlignment="1">
      <alignment/>
    </xf>
    <xf numFmtId="164" fontId="29" fillId="0" borderId="14" xfId="42" applyNumberFormat="1" applyFont="1" applyBorder="1" applyAlignment="1">
      <alignment/>
    </xf>
    <xf numFmtId="164" fontId="27" fillId="0" borderId="14" xfId="42" applyNumberFormat="1" applyFont="1" applyBorder="1" applyAlignment="1">
      <alignment/>
    </xf>
    <xf numFmtId="0" fontId="29" fillId="0" borderId="18" xfId="0" applyFont="1" applyBorder="1" applyAlignment="1">
      <alignment/>
    </xf>
    <xf numFmtId="164" fontId="27" fillId="0" borderId="0" xfId="42" applyNumberFormat="1" applyFont="1" applyAlignment="1">
      <alignment/>
    </xf>
    <xf numFmtId="3" fontId="27" fillId="0" borderId="13" xfId="42" applyNumberFormat="1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33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5" xfId="55" applyFont="1" applyFill="1" applyBorder="1" applyAlignment="1">
      <alignment horizontal="center" vertical="center"/>
      <protection/>
    </xf>
    <xf numFmtId="10" fontId="4" fillId="0" borderId="24" xfId="55" applyNumberFormat="1" applyFont="1" applyFill="1" applyBorder="1" applyAlignment="1">
      <alignment horizontal="center" vertical="center"/>
      <protection/>
    </xf>
    <xf numFmtId="10" fontId="4" fillId="0" borderId="36" xfId="55" applyNumberFormat="1" applyFont="1" applyFill="1" applyBorder="1" applyAlignment="1">
      <alignment horizontal="center" vertical="center"/>
      <protection/>
    </xf>
    <xf numFmtId="0" fontId="7" fillId="0" borderId="22" xfId="55" applyFont="1" applyFill="1" applyBorder="1" applyAlignment="1">
      <alignment horizontal="center" vertical="center"/>
      <protection/>
    </xf>
    <xf numFmtId="0" fontId="4" fillId="0" borderId="34" xfId="55" applyFont="1" applyFill="1" applyBorder="1" applyAlignment="1">
      <alignment horizontal="center" vertical="center"/>
      <protection/>
    </xf>
    <xf numFmtId="0" fontId="4" fillId="0" borderId="35" xfId="55" applyFont="1" applyFill="1" applyBorder="1" applyAlignment="1">
      <alignment horizontal="center" vertical="center"/>
      <protection/>
    </xf>
    <xf numFmtId="10" fontId="7" fillId="0" borderId="22" xfId="55" applyNumberFormat="1" applyFont="1" applyFill="1" applyBorder="1" applyAlignment="1">
      <alignment horizontal="center" vertical="center"/>
      <protection/>
    </xf>
    <xf numFmtId="10" fontId="4" fillId="0" borderId="22" xfId="55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165"/>
  <sheetViews>
    <sheetView tabSelected="1" zoomScalePageLayoutView="0" workbookViewId="0" topLeftCell="A121">
      <selection activeCell="K115" sqref="K115"/>
    </sheetView>
  </sheetViews>
  <sheetFormatPr defaultColWidth="9.140625" defaultRowHeight="15"/>
  <cols>
    <col min="2" max="2" width="17.28125" style="0" customWidth="1"/>
    <col min="3" max="3" width="12.7109375" style="0" customWidth="1"/>
    <col min="4" max="4" width="12.7109375" style="73" customWidth="1"/>
    <col min="5" max="5" width="12.7109375" style="0" customWidth="1"/>
    <col min="6" max="6" width="12.7109375" style="73" customWidth="1"/>
    <col min="7" max="7" width="12.7109375" style="0" customWidth="1"/>
    <col min="8" max="8" width="12.7109375" style="73" customWidth="1"/>
    <col min="9" max="9" width="12.7109375" style="0" customWidth="1"/>
  </cols>
  <sheetData>
    <row r="1" ht="15">
      <c r="A1" s="13"/>
    </row>
    <row r="2" ht="18.75">
      <c r="B2" s="14" t="s">
        <v>138</v>
      </c>
    </row>
    <row r="4" spans="2:9" ht="15">
      <c r="B4" s="15"/>
      <c r="C4" s="16" t="s">
        <v>62</v>
      </c>
      <c r="D4" s="74" t="s">
        <v>63</v>
      </c>
      <c r="E4" s="17"/>
      <c r="F4" s="87" t="s">
        <v>64</v>
      </c>
      <c r="G4" s="88"/>
      <c r="H4" s="84" t="s">
        <v>65</v>
      </c>
      <c r="I4" s="18"/>
    </row>
    <row r="5" spans="2:9" ht="15">
      <c r="B5" s="19" t="s">
        <v>0</v>
      </c>
      <c r="C5" s="20" t="s">
        <v>66</v>
      </c>
      <c r="D5" s="75" t="s">
        <v>67</v>
      </c>
      <c r="E5" s="21"/>
      <c r="F5" s="89" t="s">
        <v>68</v>
      </c>
      <c r="G5" s="90"/>
      <c r="H5" s="91" t="s">
        <v>69</v>
      </c>
      <c r="I5" s="92"/>
    </row>
    <row r="6" spans="2:9" ht="15">
      <c r="B6" s="22"/>
      <c r="C6" s="23"/>
      <c r="D6" s="76" t="s">
        <v>70</v>
      </c>
      <c r="E6" s="24" t="s">
        <v>71</v>
      </c>
      <c r="F6" s="76" t="s">
        <v>70</v>
      </c>
      <c r="G6" s="24" t="s">
        <v>71</v>
      </c>
      <c r="H6" s="76" t="s">
        <v>70</v>
      </c>
      <c r="I6" s="24" t="s">
        <v>71</v>
      </c>
    </row>
    <row r="7" spans="2:9" ht="15">
      <c r="B7" s="2" t="s">
        <v>16</v>
      </c>
      <c r="C7" s="6" t="s">
        <v>72</v>
      </c>
      <c r="D7" s="77">
        <v>150</v>
      </c>
      <c r="E7" s="25">
        <v>120</v>
      </c>
      <c r="F7" s="77">
        <v>3700</v>
      </c>
      <c r="G7" s="25">
        <v>3500</v>
      </c>
      <c r="H7" s="77">
        <v>460</v>
      </c>
      <c r="I7" s="25">
        <v>350</v>
      </c>
    </row>
    <row r="8" spans="2:9" ht="15">
      <c r="B8" s="2"/>
      <c r="C8" s="6" t="s">
        <v>73</v>
      </c>
      <c r="D8" s="70">
        <v>1500</v>
      </c>
      <c r="E8" s="8">
        <v>600</v>
      </c>
      <c r="F8" s="70">
        <v>3600</v>
      </c>
      <c r="G8" s="8">
        <v>3000</v>
      </c>
      <c r="H8" s="70">
        <v>4405</v>
      </c>
      <c r="I8" s="8">
        <v>1480</v>
      </c>
    </row>
    <row r="9" spans="2:9" ht="15">
      <c r="B9" s="2"/>
      <c r="C9" s="6" t="s">
        <v>74</v>
      </c>
      <c r="D9" s="70">
        <v>4100</v>
      </c>
      <c r="E9" s="8">
        <v>2100</v>
      </c>
      <c r="F9" s="70">
        <v>3500</v>
      </c>
      <c r="G9" s="8">
        <v>3000</v>
      </c>
      <c r="H9" s="70">
        <v>11590</v>
      </c>
      <c r="I9" s="8">
        <v>5170</v>
      </c>
    </row>
    <row r="10" spans="2:9" ht="15">
      <c r="B10" s="4"/>
      <c r="C10" s="26" t="s">
        <v>75</v>
      </c>
      <c r="D10" s="71">
        <f>+SUM(D7:D9)</f>
        <v>5750</v>
      </c>
      <c r="E10" s="27">
        <f>+SUM(E7:E9)</f>
        <v>2820</v>
      </c>
      <c r="F10" s="71">
        <v>3531</v>
      </c>
      <c r="G10" s="27">
        <v>3020</v>
      </c>
      <c r="H10" s="71">
        <f>+SUM(H7:H9)</f>
        <v>16455</v>
      </c>
      <c r="I10" s="27">
        <f>+SUM(I7:I9)</f>
        <v>7000</v>
      </c>
    </row>
    <row r="11" spans="2:9" ht="15">
      <c r="B11" s="2" t="s">
        <v>17</v>
      </c>
      <c r="C11" s="6" t="s">
        <v>72</v>
      </c>
      <c r="D11" s="70">
        <v>1940</v>
      </c>
      <c r="E11" s="8">
        <v>1430</v>
      </c>
      <c r="F11" s="70">
        <v>3700</v>
      </c>
      <c r="G11" s="8">
        <v>3400</v>
      </c>
      <c r="H11" s="70">
        <v>6070</v>
      </c>
      <c r="I11" s="8">
        <v>4085</v>
      </c>
    </row>
    <row r="12" spans="2:9" ht="15">
      <c r="B12" s="2"/>
      <c r="C12" s="6" t="s">
        <v>73</v>
      </c>
      <c r="D12" s="70">
        <v>3935</v>
      </c>
      <c r="E12" s="8">
        <v>2300</v>
      </c>
      <c r="F12" s="70">
        <v>3600</v>
      </c>
      <c r="G12" s="8">
        <v>3300</v>
      </c>
      <c r="H12" s="70">
        <v>11935</v>
      </c>
      <c r="I12" s="8">
        <v>6355</v>
      </c>
    </row>
    <row r="13" spans="2:9" ht="15">
      <c r="B13" s="2"/>
      <c r="C13" s="6" t="s">
        <v>74</v>
      </c>
      <c r="D13" s="70">
        <v>7490</v>
      </c>
      <c r="E13" s="8">
        <v>3000</v>
      </c>
      <c r="F13" s="70">
        <v>3400</v>
      </c>
      <c r="G13" s="8">
        <v>3000</v>
      </c>
      <c r="H13" s="70">
        <v>21215</v>
      </c>
      <c r="I13" s="8">
        <v>7270</v>
      </c>
    </row>
    <row r="14" spans="2:9" ht="15">
      <c r="B14" s="4"/>
      <c r="C14" s="26" t="s">
        <v>75</v>
      </c>
      <c r="D14" s="71">
        <f>+SUM(D11:D13)</f>
        <v>13365</v>
      </c>
      <c r="E14" s="27">
        <f>+SUM(E11:E13)</f>
        <v>6730</v>
      </c>
      <c r="F14" s="71">
        <v>3503</v>
      </c>
      <c r="G14" s="27">
        <v>3191</v>
      </c>
      <c r="H14" s="71">
        <f>+SUM(H11:H13)</f>
        <v>39220</v>
      </c>
      <c r="I14" s="27">
        <f>+SUM(I11:I13)</f>
        <v>17710</v>
      </c>
    </row>
    <row r="15" spans="2:9" ht="15">
      <c r="B15" s="2" t="s">
        <v>76</v>
      </c>
      <c r="C15" s="6" t="s">
        <v>72</v>
      </c>
      <c r="D15" s="70">
        <v>330</v>
      </c>
      <c r="E15" s="8">
        <v>280</v>
      </c>
      <c r="F15" s="70">
        <v>3300</v>
      </c>
      <c r="G15" s="8">
        <v>3200</v>
      </c>
      <c r="H15" s="70">
        <v>980</v>
      </c>
      <c r="I15" s="8">
        <v>800</v>
      </c>
    </row>
    <row r="16" spans="2:9" ht="15">
      <c r="B16" s="2"/>
      <c r="C16" s="6" t="s">
        <v>73</v>
      </c>
      <c r="D16" s="70">
        <v>2835</v>
      </c>
      <c r="E16" s="8">
        <v>2280</v>
      </c>
      <c r="F16" s="70">
        <v>3200</v>
      </c>
      <c r="G16" s="8">
        <v>3100</v>
      </c>
      <c r="H16" s="70">
        <v>8135</v>
      </c>
      <c r="I16" s="8">
        <v>6325</v>
      </c>
    </row>
    <row r="17" spans="2:9" ht="15">
      <c r="B17" s="2"/>
      <c r="C17" s="6" t="s">
        <v>74</v>
      </c>
      <c r="D17" s="70">
        <v>12905</v>
      </c>
      <c r="E17" s="8">
        <v>8655</v>
      </c>
      <c r="F17" s="70">
        <v>3100</v>
      </c>
      <c r="G17" s="8">
        <v>3000</v>
      </c>
      <c r="H17" s="70">
        <v>35815</v>
      </c>
      <c r="I17" s="8">
        <v>21390</v>
      </c>
    </row>
    <row r="18" spans="2:9" ht="15">
      <c r="B18" s="4"/>
      <c r="C18" s="26" t="s">
        <v>75</v>
      </c>
      <c r="D18" s="71">
        <f>+SUM(D15:D17)</f>
        <v>16070</v>
      </c>
      <c r="E18" s="27">
        <f>+SUM(E15:E17)</f>
        <v>11215</v>
      </c>
      <c r="F18" s="83">
        <v>3122</v>
      </c>
      <c r="G18" s="27">
        <v>3027</v>
      </c>
      <c r="H18" s="83">
        <f>+SUM(H15:H17)</f>
        <v>44930</v>
      </c>
      <c r="I18" s="27">
        <f>+SUM(I15:I17)</f>
        <v>28515</v>
      </c>
    </row>
    <row r="19" spans="2:9" ht="15">
      <c r="B19" s="2" t="s">
        <v>77</v>
      </c>
      <c r="C19" s="6" t="s">
        <v>72</v>
      </c>
      <c r="D19" s="70">
        <v>150</v>
      </c>
      <c r="E19" s="8">
        <v>100</v>
      </c>
      <c r="F19" s="70">
        <v>3800</v>
      </c>
      <c r="G19" s="8">
        <v>3900</v>
      </c>
      <c r="H19" s="70">
        <v>440</v>
      </c>
      <c r="I19" s="8">
        <v>290</v>
      </c>
    </row>
    <row r="20" spans="2:9" ht="15">
      <c r="B20" s="2"/>
      <c r="C20" s="6" t="s">
        <v>73</v>
      </c>
      <c r="D20" s="70">
        <v>700</v>
      </c>
      <c r="E20" s="8">
        <v>220</v>
      </c>
      <c r="F20" s="70">
        <v>3700</v>
      </c>
      <c r="G20" s="8">
        <v>3800</v>
      </c>
      <c r="H20" s="70">
        <v>2005</v>
      </c>
      <c r="I20" s="8">
        <v>619.5061599999999</v>
      </c>
    </row>
    <row r="21" spans="2:9" ht="15">
      <c r="B21" s="2"/>
      <c r="C21" s="6" t="s">
        <v>74</v>
      </c>
      <c r="D21" s="70">
        <v>14705</v>
      </c>
      <c r="E21" s="8">
        <v>5000</v>
      </c>
      <c r="F21" s="70">
        <v>3300</v>
      </c>
      <c r="G21" s="8">
        <v>3300</v>
      </c>
      <c r="H21" s="70">
        <v>37025</v>
      </c>
      <c r="I21" s="8">
        <v>12395</v>
      </c>
    </row>
    <row r="22" spans="2:9" ht="15">
      <c r="B22" s="4"/>
      <c r="C22" s="26" t="s">
        <v>75</v>
      </c>
      <c r="D22" s="71">
        <f>+SUM(D19:D21)</f>
        <v>15555</v>
      </c>
      <c r="E22" s="27">
        <f>+SUM(E19:E21)</f>
        <v>5320</v>
      </c>
      <c r="F22" s="71">
        <v>3323</v>
      </c>
      <c r="G22" s="27">
        <v>3332</v>
      </c>
      <c r="H22" s="71">
        <f>+SUM(H19:H21)</f>
        <v>39470</v>
      </c>
      <c r="I22" s="27">
        <f>+SUM(I19:I21)</f>
        <v>13304.50616</v>
      </c>
    </row>
    <row r="23" spans="2:9" ht="15">
      <c r="B23" s="2" t="s">
        <v>78</v>
      </c>
      <c r="C23" s="6" t="s">
        <v>72</v>
      </c>
      <c r="D23" s="70">
        <v>4305</v>
      </c>
      <c r="E23" s="8">
        <v>3600</v>
      </c>
      <c r="F23" s="70">
        <v>3800</v>
      </c>
      <c r="G23" s="8">
        <v>4200</v>
      </c>
      <c r="H23" s="70">
        <v>12815</v>
      </c>
      <c r="I23" s="8">
        <v>11645</v>
      </c>
    </row>
    <row r="24" spans="2:9" ht="15">
      <c r="B24" s="2"/>
      <c r="C24" s="6" t="s">
        <v>73</v>
      </c>
      <c r="D24" s="70">
        <v>3910</v>
      </c>
      <c r="E24" s="8">
        <v>3350</v>
      </c>
      <c r="F24" s="70">
        <v>3600</v>
      </c>
      <c r="G24" s="8">
        <v>3400</v>
      </c>
      <c r="H24" s="70">
        <v>11019.6527832</v>
      </c>
      <c r="I24" s="8">
        <v>8725</v>
      </c>
    </row>
    <row r="25" spans="2:9" ht="15">
      <c r="B25" s="2"/>
      <c r="C25" s="6" t="s">
        <v>74</v>
      </c>
      <c r="D25" s="70">
        <v>9655</v>
      </c>
      <c r="E25" s="8">
        <v>9000</v>
      </c>
      <c r="F25" s="70">
        <v>3300</v>
      </c>
      <c r="G25" s="8">
        <v>3300</v>
      </c>
      <c r="H25" s="70">
        <v>24700</v>
      </c>
      <c r="I25" s="8">
        <v>22230</v>
      </c>
    </row>
    <row r="26" spans="2:9" ht="15">
      <c r="B26" s="4"/>
      <c r="C26" s="26" t="s">
        <v>75</v>
      </c>
      <c r="D26" s="71">
        <f>+SUM(D23:D25)</f>
        <v>17870</v>
      </c>
      <c r="E26" s="27">
        <f>+SUM(E23:E25)</f>
        <v>15950</v>
      </c>
      <c r="F26" s="71">
        <v>3487</v>
      </c>
      <c r="G26" s="27">
        <v>3528</v>
      </c>
      <c r="H26" s="71">
        <f>+SUM(H23:H25)</f>
        <v>48534.6527832</v>
      </c>
      <c r="I26" s="27">
        <f>+SUM(I23:I25)</f>
        <v>42600</v>
      </c>
    </row>
    <row r="27" spans="2:9" ht="15">
      <c r="B27" s="2" t="s">
        <v>26</v>
      </c>
      <c r="C27" s="6" t="s">
        <v>72</v>
      </c>
      <c r="D27" s="70">
        <v>20975</v>
      </c>
      <c r="E27" s="8">
        <v>20560</v>
      </c>
      <c r="F27" s="70">
        <v>6000</v>
      </c>
      <c r="G27" s="8">
        <v>5500</v>
      </c>
      <c r="H27" s="70">
        <v>107780</v>
      </c>
      <c r="I27" s="8">
        <v>96845</v>
      </c>
    </row>
    <row r="28" spans="2:9" ht="15">
      <c r="B28" s="2"/>
      <c r="C28" s="6" t="s">
        <v>73</v>
      </c>
      <c r="D28" s="70">
        <v>5720</v>
      </c>
      <c r="E28" s="8">
        <v>4730</v>
      </c>
      <c r="F28" s="70">
        <v>5100</v>
      </c>
      <c r="G28" s="8">
        <v>5000</v>
      </c>
      <c r="H28" s="70">
        <v>24940</v>
      </c>
      <c r="I28" s="8">
        <v>20220</v>
      </c>
    </row>
    <row r="29" spans="2:9" ht="15">
      <c r="B29" s="2"/>
      <c r="C29" s="6" t="s">
        <v>74</v>
      </c>
      <c r="D29" s="70">
        <v>1720</v>
      </c>
      <c r="E29" s="8">
        <v>1305</v>
      </c>
      <c r="F29" s="70">
        <v>4100</v>
      </c>
      <c r="G29" s="8">
        <v>3200</v>
      </c>
      <c r="H29" s="70">
        <v>5990</v>
      </c>
      <c r="I29" s="8">
        <v>3545</v>
      </c>
    </row>
    <row r="30" spans="2:9" ht="15">
      <c r="B30" s="4"/>
      <c r="C30" s="26" t="s">
        <v>75</v>
      </c>
      <c r="D30" s="71">
        <f>+SUM(D27:D29)</f>
        <v>28415</v>
      </c>
      <c r="E30" s="27">
        <f>+SUM(E27:E29)</f>
        <v>26595</v>
      </c>
      <c r="F30" s="71">
        <v>5705</v>
      </c>
      <c r="G30" s="27">
        <v>5299</v>
      </c>
      <c r="H30" s="71">
        <f>+SUM(H27:H29)</f>
        <v>138710</v>
      </c>
      <c r="I30" s="27">
        <f>+SUM(I27:I29)</f>
        <v>120610</v>
      </c>
    </row>
    <row r="31" spans="2:9" ht="15">
      <c r="B31" s="2" t="s">
        <v>46</v>
      </c>
      <c r="C31" s="6" t="s">
        <v>72</v>
      </c>
      <c r="D31" s="70">
        <v>6545</v>
      </c>
      <c r="E31" s="8">
        <v>4300</v>
      </c>
      <c r="F31" s="70">
        <v>5200</v>
      </c>
      <c r="G31" s="8">
        <v>5200</v>
      </c>
      <c r="H31" s="70">
        <v>27500</v>
      </c>
      <c r="I31" s="8">
        <v>18785</v>
      </c>
    </row>
    <row r="32" spans="2:9" ht="15">
      <c r="B32" s="2"/>
      <c r="C32" s="6" t="s">
        <v>73</v>
      </c>
      <c r="D32" s="70">
        <v>10640</v>
      </c>
      <c r="E32" s="8">
        <v>5075</v>
      </c>
      <c r="F32" s="70">
        <v>4500</v>
      </c>
      <c r="G32" s="8">
        <v>4500</v>
      </c>
      <c r="H32" s="70">
        <v>40499.936400000006</v>
      </c>
      <c r="I32" s="8">
        <v>18790</v>
      </c>
    </row>
    <row r="33" spans="2:9" ht="15">
      <c r="B33" s="2"/>
      <c r="C33" s="6" t="s">
        <v>74</v>
      </c>
      <c r="D33" s="70">
        <v>5465</v>
      </c>
      <c r="E33" s="8">
        <v>75</v>
      </c>
      <c r="F33" s="70">
        <v>3600</v>
      </c>
      <c r="G33" s="8">
        <v>3300</v>
      </c>
      <c r="H33" s="70">
        <v>15550</v>
      </c>
      <c r="I33" s="8">
        <v>195</v>
      </c>
    </row>
    <row r="34" spans="2:9" ht="15">
      <c r="B34" s="4"/>
      <c r="C34" s="26" t="s">
        <v>75</v>
      </c>
      <c r="D34" s="71">
        <f>+SUM(D31:D33)</f>
        <v>22650</v>
      </c>
      <c r="E34" s="27">
        <f>+SUM(E31:E33)</f>
        <v>9450</v>
      </c>
      <c r="F34" s="71">
        <v>4490</v>
      </c>
      <c r="G34" s="27">
        <v>4813</v>
      </c>
      <c r="H34" s="71">
        <f>+SUM(H31:H33)</f>
        <v>83549.9364</v>
      </c>
      <c r="I34" s="27">
        <f>+SUM(I31:I33)</f>
        <v>37770</v>
      </c>
    </row>
    <row r="35" spans="2:9" ht="15">
      <c r="B35" s="2" t="s">
        <v>47</v>
      </c>
      <c r="C35" s="6" t="s">
        <v>72</v>
      </c>
      <c r="D35" s="70">
        <v>8220</v>
      </c>
      <c r="E35" s="8">
        <v>7080</v>
      </c>
      <c r="F35" s="70">
        <v>5000</v>
      </c>
      <c r="G35" s="70">
        <v>4700</v>
      </c>
      <c r="H35" s="70">
        <v>39310</v>
      </c>
      <c r="I35" s="8">
        <v>31960</v>
      </c>
    </row>
    <row r="36" spans="2:9" ht="15">
      <c r="B36" s="2"/>
      <c r="C36" s="6" t="s">
        <v>73</v>
      </c>
      <c r="D36" s="70">
        <v>10260</v>
      </c>
      <c r="E36" s="8">
        <v>6320</v>
      </c>
      <c r="F36" s="70">
        <v>4500</v>
      </c>
      <c r="G36" s="70">
        <v>4000</v>
      </c>
      <c r="H36" s="70">
        <v>42520</v>
      </c>
      <c r="I36" s="8">
        <v>23550</v>
      </c>
    </row>
    <row r="37" spans="2:9" ht="15">
      <c r="B37" s="2"/>
      <c r="C37" s="6" t="s">
        <v>74</v>
      </c>
      <c r="D37" s="70">
        <v>15020</v>
      </c>
      <c r="E37" s="8">
        <v>1890</v>
      </c>
      <c r="F37" s="70">
        <v>3800</v>
      </c>
      <c r="G37" s="70">
        <v>3400</v>
      </c>
      <c r="H37" s="70">
        <v>50340</v>
      </c>
      <c r="I37" s="8">
        <v>5785</v>
      </c>
    </row>
    <row r="38" spans="2:9" ht="15">
      <c r="B38" s="4"/>
      <c r="C38" s="26" t="s">
        <v>75</v>
      </c>
      <c r="D38" s="71">
        <f>+SUM(D35:D37)</f>
        <v>33500</v>
      </c>
      <c r="E38" s="27">
        <f>+SUM(E35:E37)</f>
        <v>15290</v>
      </c>
      <c r="F38" s="71">
        <v>4325</v>
      </c>
      <c r="G38" s="71">
        <v>4260</v>
      </c>
      <c r="H38" s="71">
        <f>+SUM(H35:H37)</f>
        <v>132170</v>
      </c>
      <c r="I38" s="27">
        <f>+SUM(I35:I37)</f>
        <v>61295</v>
      </c>
    </row>
    <row r="39" spans="4:9" ht="15">
      <c r="D39" s="78"/>
      <c r="E39" s="28">
        <v>1</v>
      </c>
      <c r="F39" s="78"/>
      <c r="G39" s="1"/>
      <c r="H39" s="85"/>
      <c r="I39" s="1"/>
    </row>
    <row r="40" ht="15">
      <c r="G40" s="1"/>
    </row>
    <row r="41" spans="2:7" ht="18.75">
      <c r="B41" s="14" t="s">
        <v>145</v>
      </c>
      <c r="G41" s="1"/>
    </row>
    <row r="42" ht="15">
      <c r="G42" s="1"/>
    </row>
    <row r="43" spans="2:9" ht="15">
      <c r="B43" s="15"/>
      <c r="C43" s="16" t="s">
        <v>62</v>
      </c>
      <c r="D43" s="74" t="s">
        <v>63</v>
      </c>
      <c r="E43" s="17"/>
      <c r="F43" s="87" t="s">
        <v>64</v>
      </c>
      <c r="G43" s="88"/>
      <c r="H43" s="84" t="s">
        <v>79</v>
      </c>
      <c r="I43" s="18"/>
    </row>
    <row r="44" spans="2:9" ht="15">
      <c r="B44" s="19" t="s">
        <v>0</v>
      </c>
      <c r="C44" s="20" t="s">
        <v>66</v>
      </c>
      <c r="D44" s="75" t="s">
        <v>67</v>
      </c>
      <c r="E44" s="21"/>
      <c r="F44" s="89" t="s">
        <v>68</v>
      </c>
      <c r="G44" s="90"/>
      <c r="H44" s="91" t="s">
        <v>69</v>
      </c>
      <c r="I44" s="92"/>
    </row>
    <row r="45" spans="2:9" ht="15">
      <c r="B45" s="22"/>
      <c r="C45" s="23"/>
      <c r="D45" s="76" t="s">
        <v>70</v>
      </c>
      <c r="E45" s="24" t="s">
        <v>71</v>
      </c>
      <c r="F45" s="76" t="s">
        <v>70</v>
      </c>
      <c r="G45" s="24" t="s">
        <v>71</v>
      </c>
      <c r="H45" s="76" t="s">
        <v>70</v>
      </c>
      <c r="I45" s="24" t="s">
        <v>71</v>
      </c>
    </row>
    <row r="46" spans="2:9" ht="15">
      <c r="B46" s="2" t="s">
        <v>49</v>
      </c>
      <c r="C46" s="6" t="s">
        <v>72</v>
      </c>
      <c r="D46" s="70">
        <v>2105</v>
      </c>
      <c r="E46" s="8">
        <v>2020</v>
      </c>
      <c r="F46" s="70">
        <v>5000</v>
      </c>
      <c r="G46" s="8">
        <v>4800</v>
      </c>
      <c r="H46" s="70">
        <v>8885</v>
      </c>
      <c r="I46" s="8">
        <v>8120</v>
      </c>
    </row>
    <row r="47" spans="2:9" ht="15">
      <c r="B47" s="2"/>
      <c r="C47" s="6" t="s">
        <v>73</v>
      </c>
      <c r="D47" s="70">
        <v>8000</v>
      </c>
      <c r="E47" s="8">
        <v>6000</v>
      </c>
      <c r="F47" s="70">
        <v>3500</v>
      </c>
      <c r="G47" s="8">
        <v>3500</v>
      </c>
      <c r="H47" s="70">
        <v>23325</v>
      </c>
      <c r="I47" s="8">
        <v>17225</v>
      </c>
    </row>
    <row r="48" spans="2:9" ht="15">
      <c r="B48" s="2"/>
      <c r="C48" s="6" t="s">
        <v>74</v>
      </c>
      <c r="D48" s="70">
        <v>4780</v>
      </c>
      <c r="E48" s="8">
        <v>2400</v>
      </c>
      <c r="F48" s="70">
        <v>3000</v>
      </c>
      <c r="G48" s="8">
        <v>3000</v>
      </c>
      <c r="H48" s="70">
        <v>11859.896999999999</v>
      </c>
      <c r="I48" s="8">
        <v>5915</v>
      </c>
    </row>
    <row r="49" spans="2:9" ht="15">
      <c r="B49" s="4"/>
      <c r="C49" s="26" t="s">
        <v>75</v>
      </c>
      <c r="D49" s="71">
        <f>+SUM(D46:D48)</f>
        <v>14885</v>
      </c>
      <c r="E49" s="27">
        <f>+SUM(E46:E48)</f>
        <v>10420</v>
      </c>
      <c r="F49" s="71">
        <v>3556</v>
      </c>
      <c r="G49" s="27">
        <v>3641</v>
      </c>
      <c r="H49" s="71">
        <f>+SUM(H46:H48)</f>
        <v>44069.897</v>
      </c>
      <c r="I49" s="27">
        <f>+SUM(I46:I48)</f>
        <v>31260</v>
      </c>
    </row>
    <row r="50" spans="2:9" ht="15">
      <c r="B50" s="2" t="s">
        <v>80</v>
      </c>
      <c r="C50" s="6" t="s">
        <v>72</v>
      </c>
      <c r="D50" s="70"/>
      <c r="E50" s="8"/>
      <c r="F50" s="70"/>
      <c r="G50" s="8"/>
      <c r="H50" s="70">
        <v>0</v>
      </c>
      <c r="I50" s="8">
        <v>0</v>
      </c>
    </row>
    <row r="51" spans="2:9" ht="15">
      <c r="B51" s="2"/>
      <c r="C51" s="6" t="s">
        <v>73</v>
      </c>
      <c r="D51" s="70">
        <v>2510</v>
      </c>
      <c r="E51" s="8">
        <v>1800</v>
      </c>
      <c r="F51" s="70">
        <v>4000</v>
      </c>
      <c r="G51" s="8">
        <v>3200</v>
      </c>
      <c r="H51" s="70">
        <v>9090</v>
      </c>
      <c r="I51" s="8">
        <v>5350</v>
      </c>
    </row>
    <row r="52" spans="2:9" ht="15">
      <c r="B52" s="2"/>
      <c r="C52" s="6" t="s">
        <v>74</v>
      </c>
      <c r="D52" s="70">
        <v>7585</v>
      </c>
      <c r="E52" s="8">
        <v>5900</v>
      </c>
      <c r="F52" s="70">
        <v>3500</v>
      </c>
      <c r="G52" s="8">
        <v>3100</v>
      </c>
      <c r="H52" s="70">
        <v>23855</v>
      </c>
      <c r="I52" s="8">
        <v>16165</v>
      </c>
    </row>
    <row r="53" spans="2:9" ht="15">
      <c r="B53" s="4"/>
      <c r="C53" s="26" t="s">
        <v>75</v>
      </c>
      <c r="D53" s="71">
        <f>+SUM(D50:D52)</f>
        <v>10095</v>
      </c>
      <c r="E53" s="27">
        <f>+SUM(E50:E52)</f>
        <v>7700</v>
      </c>
      <c r="F53" s="71">
        <v>3625</v>
      </c>
      <c r="G53" s="27">
        <v>3124</v>
      </c>
      <c r="H53" s="71">
        <f>+SUM(H50:H52)</f>
        <v>32945</v>
      </c>
      <c r="I53" s="27">
        <f>+SUM(I50:I52)</f>
        <v>21515</v>
      </c>
    </row>
    <row r="54" spans="2:9" ht="15">
      <c r="B54" s="2" t="s">
        <v>81</v>
      </c>
      <c r="C54" s="6" t="s">
        <v>72</v>
      </c>
      <c r="D54" s="70">
        <v>14500</v>
      </c>
      <c r="E54" s="8">
        <v>14000</v>
      </c>
      <c r="F54" s="70">
        <v>5000</v>
      </c>
      <c r="G54" s="8">
        <v>4800</v>
      </c>
      <c r="H54" s="70">
        <v>71155</v>
      </c>
      <c r="I54" s="8">
        <v>63840</v>
      </c>
    </row>
    <row r="55" spans="2:9" ht="15">
      <c r="B55" s="2"/>
      <c r="C55" s="6" t="s">
        <v>73</v>
      </c>
      <c r="D55" s="70">
        <v>34265</v>
      </c>
      <c r="E55" s="8">
        <v>28425</v>
      </c>
      <c r="F55" s="70">
        <v>4100</v>
      </c>
      <c r="G55" s="8">
        <v>3600</v>
      </c>
      <c r="H55" s="70">
        <v>133460</v>
      </c>
      <c r="I55" s="8">
        <v>97215</v>
      </c>
    </row>
    <row r="56" spans="2:9" ht="15">
      <c r="B56" s="2"/>
      <c r="C56" s="6" t="s">
        <v>74</v>
      </c>
      <c r="D56" s="70">
        <v>28950</v>
      </c>
      <c r="E56" s="8">
        <v>22050</v>
      </c>
      <c r="F56" s="70">
        <v>3700</v>
      </c>
      <c r="G56" s="8">
        <v>3200</v>
      </c>
      <c r="H56" s="70">
        <v>99615</v>
      </c>
      <c r="I56" s="8">
        <v>67030</v>
      </c>
    </row>
    <row r="57" spans="2:9" ht="15">
      <c r="B57" s="4"/>
      <c r="C57" s="26" t="s">
        <v>75</v>
      </c>
      <c r="D57" s="71">
        <f>+SUM(D54:D56)</f>
        <v>77715</v>
      </c>
      <c r="E57" s="27">
        <f>+SUM(E54:E56)</f>
        <v>64475</v>
      </c>
      <c r="F57" s="71">
        <v>4128</v>
      </c>
      <c r="G57" s="27">
        <v>3724</v>
      </c>
      <c r="H57" s="71">
        <f>+SUM(H54:H56)</f>
        <v>304230</v>
      </c>
      <c r="I57" s="27">
        <f>+SUM(I54:I56)</f>
        <v>228085</v>
      </c>
    </row>
    <row r="58" spans="2:9" ht="15">
      <c r="B58" s="2" t="s">
        <v>41</v>
      </c>
      <c r="C58" s="6" t="s">
        <v>72</v>
      </c>
      <c r="D58" s="70">
        <v>8235</v>
      </c>
      <c r="E58" s="8">
        <v>7460</v>
      </c>
      <c r="F58" s="70">
        <v>4900</v>
      </c>
      <c r="G58" s="8">
        <v>4800</v>
      </c>
      <c r="H58" s="70">
        <v>32525</v>
      </c>
      <c r="I58" s="8">
        <v>28865</v>
      </c>
    </row>
    <row r="59" spans="2:9" ht="15">
      <c r="B59" s="2"/>
      <c r="C59" s="6" t="s">
        <v>73</v>
      </c>
      <c r="D59" s="70">
        <v>11595</v>
      </c>
      <c r="E59" s="8">
        <v>7800</v>
      </c>
      <c r="F59" s="70">
        <v>4000</v>
      </c>
      <c r="G59" s="8">
        <v>3500</v>
      </c>
      <c r="H59" s="70">
        <v>35874.93</v>
      </c>
      <c r="I59" s="8">
        <v>21580</v>
      </c>
    </row>
    <row r="60" spans="2:9" ht="15">
      <c r="B60" s="2"/>
      <c r="C60" s="6" t="s">
        <v>74</v>
      </c>
      <c r="D60" s="70">
        <v>2585</v>
      </c>
      <c r="E60" s="8">
        <v>1170</v>
      </c>
      <c r="F60" s="70">
        <v>3500</v>
      </c>
      <c r="G60" s="8">
        <v>3000</v>
      </c>
      <c r="H60" s="70">
        <v>6770</v>
      </c>
      <c r="I60" s="8">
        <v>2625.48</v>
      </c>
    </row>
    <row r="61" spans="2:9" ht="15">
      <c r="B61" s="4"/>
      <c r="C61" s="26" t="s">
        <v>75</v>
      </c>
      <c r="D61" s="71">
        <f>+SUM(D58:D60)</f>
        <v>22415</v>
      </c>
      <c r="E61" s="27">
        <f>+SUM(E58:E60)</f>
        <v>16430</v>
      </c>
      <c r="F61" s="71">
        <v>4286</v>
      </c>
      <c r="G61" s="27">
        <v>4065</v>
      </c>
      <c r="H61" s="71">
        <f>+SUM(H58:H60)</f>
        <v>75169.93</v>
      </c>
      <c r="I61" s="27">
        <f>+SUM(I58:I60)</f>
        <v>53070.48</v>
      </c>
    </row>
    <row r="62" spans="2:9" ht="15">
      <c r="B62" s="2" t="s">
        <v>82</v>
      </c>
      <c r="C62" s="6" t="s">
        <v>72</v>
      </c>
      <c r="D62" s="70">
        <v>4245</v>
      </c>
      <c r="E62" s="8">
        <v>4060</v>
      </c>
      <c r="F62" s="70">
        <v>4800</v>
      </c>
      <c r="G62" s="8">
        <v>4800</v>
      </c>
      <c r="H62" s="70">
        <v>15790</v>
      </c>
      <c r="I62" s="8">
        <v>15255</v>
      </c>
    </row>
    <row r="63" spans="2:9" ht="15">
      <c r="B63" s="2"/>
      <c r="C63" s="6" t="s">
        <v>73</v>
      </c>
      <c r="D63" s="70">
        <v>6800</v>
      </c>
      <c r="E63" s="8">
        <v>3965</v>
      </c>
      <c r="F63" s="70">
        <v>3500</v>
      </c>
      <c r="G63" s="8">
        <v>3500</v>
      </c>
      <c r="H63" s="70">
        <v>17880</v>
      </c>
      <c r="I63" s="8">
        <v>10735</v>
      </c>
    </row>
    <row r="64" spans="2:9" ht="15">
      <c r="B64" s="2"/>
      <c r="C64" s="6" t="s">
        <v>74</v>
      </c>
      <c r="D64" s="70">
        <v>4835</v>
      </c>
      <c r="E64" s="8">
        <v>3590</v>
      </c>
      <c r="F64" s="70">
        <v>3300</v>
      </c>
      <c r="G64" s="8">
        <v>3000</v>
      </c>
      <c r="H64" s="70">
        <v>12325</v>
      </c>
      <c r="I64" s="8">
        <v>8260</v>
      </c>
    </row>
    <row r="65" spans="2:9" ht="15">
      <c r="B65" s="4"/>
      <c r="C65" s="26" t="s">
        <v>75</v>
      </c>
      <c r="D65" s="71">
        <f>+SUM(D62:D64)</f>
        <v>15880</v>
      </c>
      <c r="E65" s="27">
        <f>+SUM(E62:E64)</f>
        <v>11615</v>
      </c>
      <c r="F65" s="71">
        <v>3791</v>
      </c>
      <c r="G65" s="27">
        <v>3806</v>
      </c>
      <c r="H65" s="71">
        <f>+SUM(H62:H64)</f>
        <v>45995</v>
      </c>
      <c r="I65" s="27">
        <f>+SUM(I62:I64)</f>
        <v>34250</v>
      </c>
    </row>
    <row r="66" spans="2:9" ht="15">
      <c r="B66" s="2" t="s">
        <v>83</v>
      </c>
      <c r="C66" s="6" t="s">
        <v>72</v>
      </c>
      <c r="D66" s="70">
        <v>6525</v>
      </c>
      <c r="E66" s="8">
        <v>6085</v>
      </c>
      <c r="F66" s="70">
        <v>4800</v>
      </c>
      <c r="G66" s="8">
        <v>4600</v>
      </c>
      <c r="H66" s="70">
        <v>27885</v>
      </c>
      <c r="I66" s="8">
        <v>24920</v>
      </c>
    </row>
    <row r="67" spans="2:9" ht="15">
      <c r="B67" s="2"/>
      <c r="C67" s="6" t="s">
        <v>73</v>
      </c>
      <c r="D67" s="70">
        <v>9865</v>
      </c>
      <c r="E67" s="8">
        <v>6215</v>
      </c>
      <c r="F67" s="70">
        <v>4200</v>
      </c>
      <c r="G67" s="8">
        <v>3900</v>
      </c>
      <c r="H67" s="70">
        <v>36055</v>
      </c>
      <c r="I67" s="8">
        <v>21145</v>
      </c>
    </row>
    <row r="68" spans="2:9" ht="15">
      <c r="B68" s="2"/>
      <c r="C68" s="6" t="s">
        <v>74</v>
      </c>
      <c r="D68" s="70">
        <v>5040</v>
      </c>
      <c r="E68" s="8">
        <v>970</v>
      </c>
      <c r="F68" s="70">
        <v>3600</v>
      </c>
      <c r="G68" s="8">
        <v>3000</v>
      </c>
      <c r="H68" s="70">
        <v>15460</v>
      </c>
      <c r="I68" s="8">
        <v>2460</v>
      </c>
    </row>
    <row r="69" spans="2:9" ht="15">
      <c r="B69" s="4"/>
      <c r="C69" s="26" t="s">
        <v>75</v>
      </c>
      <c r="D69" s="71">
        <f>+SUM(D66:D68)</f>
        <v>21430</v>
      </c>
      <c r="E69" s="27">
        <f>+SUM(E66:E68)</f>
        <v>13270</v>
      </c>
      <c r="F69" s="71">
        <v>4249</v>
      </c>
      <c r="G69" s="27">
        <v>4162</v>
      </c>
      <c r="H69" s="71">
        <f>+SUM(H66:H68)</f>
        <v>79400</v>
      </c>
      <c r="I69" s="27">
        <f>+SUM(I66:I68)</f>
        <v>48525</v>
      </c>
    </row>
    <row r="70" spans="2:9" ht="15">
      <c r="B70" s="2" t="s">
        <v>22</v>
      </c>
      <c r="C70" s="6" t="s">
        <v>72</v>
      </c>
      <c r="D70" s="70">
        <v>1300</v>
      </c>
      <c r="E70" s="8">
        <v>830</v>
      </c>
      <c r="F70" s="70">
        <v>4300</v>
      </c>
      <c r="G70" s="8">
        <v>4100</v>
      </c>
      <c r="H70" s="70">
        <v>3085</v>
      </c>
      <c r="I70" s="8">
        <v>1880</v>
      </c>
    </row>
    <row r="71" spans="2:9" ht="15">
      <c r="B71" s="2"/>
      <c r="C71" s="6" t="s">
        <v>73</v>
      </c>
      <c r="D71" s="70">
        <v>5235</v>
      </c>
      <c r="E71" s="8">
        <v>2885</v>
      </c>
      <c r="F71" s="70">
        <v>4200</v>
      </c>
      <c r="G71" s="8">
        <v>4000</v>
      </c>
      <c r="H71" s="70">
        <v>12020</v>
      </c>
      <c r="I71" s="8">
        <v>6315</v>
      </c>
    </row>
    <row r="72" spans="2:9" ht="15">
      <c r="B72" s="2"/>
      <c r="C72" s="6" t="s">
        <v>74</v>
      </c>
      <c r="D72" s="70">
        <v>165</v>
      </c>
      <c r="E72" s="8">
        <v>40</v>
      </c>
      <c r="F72" s="70">
        <v>3900</v>
      </c>
      <c r="G72" s="8">
        <v>3000</v>
      </c>
      <c r="H72" s="70">
        <v>350</v>
      </c>
      <c r="I72" s="8">
        <v>65</v>
      </c>
    </row>
    <row r="73" spans="2:9" ht="15">
      <c r="B73" s="4"/>
      <c r="C73" s="26" t="s">
        <v>75</v>
      </c>
      <c r="D73" s="71">
        <f>+SUM(D70:D72)</f>
        <v>6700</v>
      </c>
      <c r="E73" s="27">
        <f>+SUM(E70:E72)</f>
        <v>3755</v>
      </c>
      <c r="F73" s="71">
        <v>4213</v>
      </c>
      <c r="G73" s="27">
        <v>4013</v>
      </c>
      <c r="H73" s="71">
        <f>+SUM(H70:H72)</f>
        <v>15455</v>
      </c>
      <c r="I73" s="27">
        <f>+SUM(I70:I72)</f>
        <v>8260</v>
      </c>
    </row>
    <row r="74" spans="2:9" ht="15">
      <c r="B74" s="3"/>
      <c r="C74" s="29"/>
      <c r="D74" s="79"/>
      <c r="E74" s="28">
        <v>2</v>
      </c>
      <c r="F74" s="79"/>
      <c r="G74" s="30"/>
      <c r="H74" s="79"/>
      <c r="I74" s="30"/>
    </row>
    <row r="75" spans="2:9" ht="15">
      <c r="B75" s="3"/>
      <c r="C75" s="29"/>
      <c r="D75" s="79"/>
      <c r="E75" s="30"/>
      <c r="F75" s="79"/>
      <c r="G75" s="30"/>
      <c r="H75" s="79"/>
      <c r="I75" s="30"/>
    </row>
    <row r="76" spans="2:9" ht="18.75">
      <c r="B76" s="14" t="s">
        <v>145</v>
      </c>
      <c r="H76" s="85"/>
      <c r="I76" s="1"/>
    </row>
    <row r="77" spans="8:9" ht="15">
      <c r="H77" s="85"/>
      <c r="I77" s="1"/>
    </row>
    <row r="78" spans="2:9" ht="15">
      <c r="B78" s="15"/>
      <c r="C78" s="16" t="s">
        <v>62</v>
      </c>
      <c r="D78" s="74" t="s">
        <v>63</v>
      </c>
      <c r="E78" s="17"/>
      <c r="F78" s="87" t="s">
        <v>64</v>
      </c>
      <c r="G78" s="88"/>
      <c r="H78" s="84" t="s">
        <v>79</v>
      </c>
      <c r="I78" s="18"/>
    </row>
    <row r="79" spans="2:9" ht="15">
      <c r="B79" s="19" t="s">
        <v>0</v>
      </c>
      <c r="C79" s="20" t="s">
        <v>66</v>
      </c>
      <c r="D79" s="75" t="s">
        <v>67</v>
      </c>
      <c r="E79" s="21"/>
      <c r="F79" s="89" t="s">
        <v>68</v>
      </c>
      <c r="G79" s="90"/>
      <c r="H79" s="91" t="s">
        <v>69</v>
      </c>
      <c r="I79" s="92"/>
    </row>
    <row r="80" spans="2:9" ht="15">
      <c r="B80" s="22"/>
      <c r="C80" s="23"/>
      <c r="D80" s="76" t="s">
        <v>70</v>
      </c>
      <c r="E80" s="24" t="s">
        <v>71</v>
      </c>
      <c r="F80" s="76" t="s">
        <v>70</v>
      </c>
      <c r="G80" s="24" t="s">
        <v>71</v>
      </c>
      <c r="H80" s="76" t="s">
        <v>70</v>
      </c>
      <c r="I80" s="24" t="s">
        <v>71</v>
      </c>
    </row>
    <row r="81" spans="2:9" ht="15">
      <c r="B81" s="2" t="s">
        <v>43</v>
      </c>
      <c r="C81" s="6" t="s">
        <v>72</v>
      </c>
      <c r="D81" s="80">
        <v>29500</v>
      </c>
      <c r="E81" s="31">
        <v>25200</v>
      </c>
      <c r="F81" s="80">
        <v>5300</v>
      </c>
      <c r="G81" s="31">
        <v>5000</v>
      </c>
      <c r="H81" s="86">
        <v>123205</v>
      </c>
      <c r="I81" s="32">
        <v>98280</v>
      </c>
    </row>
    <row r="82" spans="2:9" ht="15">
      <c r="B82" s="2"/>
      <c r="C82" s="6" t="s">
        <v>73</v>
      </c>
      <c r="D82" s="80">
        <v>44750</v>
      </c>
      <c r="E82" s="31">
        <v>18000</v>
      </c>
      <c r="F82" s="80">
        <v>4900</v>
      </c>
      <c r="G82" s="31">
        <v>4100</v>
      </c>
      <c r="H82" s="86">
        <v>169265</v>
      </c>
      <c r="I82" s="32">
        <v>57560</v>
      </c>
    </row>
    <row r="83" spans="2:9" ht="15">
      <c r="B83" s="2"/>
      <c r="C83" s="6" t="s">
        <v>74</v>
      </c>
      <c r="D83" s="80">
        <v>6800</v>
      </c>
      <c r="E83" s="31"/>
      <c r="F83" s="80">
        <v>3900</v>
      </c>
      <c r="G83" s="31"/>
      <c r="H83" s="86">
        <v>19620</v>
      </c>
      <c r="I83" s="32">
        <v>0</v>
      </c>
    </row>
    <row r="84" spans="2:9" ht="15">
      <c r="B84" s="4"/>
      <c r="C84" s="26" t="s">
        <v>75</v>
      </c>
      <c r="D84" s="71">
        <f>+SUM(D81:D83)</f>
        <v>81050</v>
      </c>
      <c r="E84" s="27">
        <f>+SUM(E81:E83)</f>
        <v>43200</v>
      </c>
      <c r="F84" s="71">
        <v>4968</v>
      </c>
      <c r="G84" s="27">
        <v>4625</v>
      </c>
      <c r="H84" s="71">
        <f>+SUM(H81:H83)</f>
        <v>312090</v>
      </c>
      <c r="I84" s="27">
        <f>+SUM(I81:I83)</f>
        <v>155840</v>
      </c>
    </row>
    <row r="85" spans="2:9" ht="15">
      <c r="B85" s="2" t="s">
        <v>84</v>
      </c>
      <c r="C85" s="6" t="s">
        <v>72</v>
      </c>
      <c r="D85" s="80">
        <v>25695</v>
      </c>
      <c r="E85" s="31">
        <v>25600</v>
      </c>
      <c r="F85" s="80">
        <v>5500</v>
      </c>
      <c r="G85" s="31">
        <v>5400</v>
      </c>
      <c r="H85" s="86">
        <v>122515</v>
      </c>
      <c r="I85" s="32">
        <v>119840</v>
      </c>
    </row>
    <row r="86" spans="2:9" ht="15">
      <c r="B86" s="2"/>
      <c r="C86" s="6" t="s">
        <v>73</v>
      </c>
      <c r="D86" s="80">
        <v>2095</v>
      </c>
      <c r="E86" s="31">
        <v>1930</v>
      </c>
      <c r="F86" s="80">
        <v>4900</v>
      </c>
      <c r="G86" s="31">
        <v>4700</v>
      </c>
      <c r="H86" s="86">
        <v>8660.417421810002</v>
      </c>
      <c r="I86" s="32">
        <v>7655</v>
      </c>
    </row>
    <row r="87" spans="2:9" ht="15">
      <c r="B87" s="2"/>
      <c r="C87" s="6" t="s">
        <v>74</v>
      </c>
      <c r="D87" s="80">
        <v>1460</v>
      </c>
      <c r="E87" s="31"/>
      <c r="F87" s="80">
        <v>4200</v>
      </c>
      <c r="G87" s="31">
        <v>0</v>
      </c>
      <c r="H87" s="86">
        <v>5125.48456728</v>
      </c>
      <c r="I87" s="32">
        <v>0</v>
      </c>
    </row>
    <row r="88" spans="2:9" ht="15">
      <c r="B88" s="4"/>
      <c r="C88" s="26" t="s">
        <v>75</v>
      </c>
      <c r="D88" s="71">
        <f>+SUM(D85:D87)</f>
        <v>29250</v>
      </c>
      <c r="E88" s="27">
        <f>+SUM(E85:E87)</f>
        <v>27530</v>
      </c>
      <c r="F88" s="71">
        <v>5395</v>
      </c>
      <c r="G88" s="27">
        <v>5352</v>
      </c>
      <c r="H88" s="71">
        <v>136300</v>
      </c>
      <c r="I88" s="27">
        <f>+SUM(I85:I87)</f>
        <v>127495</v>
      </c>
    </row>
    <row r="89" spans="2:9" ht="15">
      <c r="B89" s="2" t="s">
        <v>28</v>
      </c>
      <c r="C89" s="6" t="s">
        <v>72</v>
      </c>
      <c r="D89" s="80"/>
      <c r="E89" s="31"/>
      <c r="F89" s="80"/>
      <c r="G89" s="31"/>
      <c r="H89" s="86">
        <v>0</v>
      </c>
      <c r="I89" s="32">
        <v>0</v>
      </c>
    </row>
    <row r="90" spans="2:9" ht="15">
      <c r="B90" s="2"/>
      <c r="C90" s="6" t="s">
        <v>73</v>
      </c>
      <c r="D90" s="80"/>
      <c r="E90" s="31"/>
      <c r="F90" s="80"/>
      <c r="G90" s="31"/>
      <c r="H90" s="86">
        <v>0</v>
      </c>
      <c r="I90" s="32">
        <v>0</v>
      </c>
    </row>
    <row r="91" spans="2:9" ht="15">
      <c r="B91" s="2"/>
      <c r="C91" s="6" t="s">
        <v>74</v>
      </c>
      <c r="D91" s="80">
        <v>11800</v>
      </c>
      <c r="E91" s="31"/>
      <c r="F91" s="80">
        <v>3600</v>
      </c>
      <c r="G91" s="31">
        <v>0</v>
      </c>
      <c r="H91" s="86">
        <v>35810</v>
      </c>
      <c r="I91" s="32">
        <v>0</v>
      </c>
    </row>
    <row r="92" spans="2:9" ht="15">
      <c r="B92" s="4"/>
      <c r="C92" s="26" t="s">
        <v>75</v>
      </c>
      <c r="D92" s="71">
        <f>+SUM(D89:D91)</f>
        <v>11800</v>
      </c>
      <c r="E92" s="27">
        <f>+SUM(E89:E91)</f>
        <v>0</v>
      </c>
      <c r="F92" s="71">
        <v>3600</v>
      </c>
      <c r="G92" s="27">
        <f>+SUM(G89:G91)</f>
        <v>0</v>
      </c>
      <c r="H92" s="71">
        <f>+SUM(H89:H91)</f>
        <v>35810</v>
      </c>
      <c r="I92" s="27">
        <f>+SUM(I89:I91)</f>
        <v>0</v>
      </c>
    </row>
    <row r="93" spans="2:9" ht="15">
      <c r="B93" s="2" t="s">
        <v>85</v>
      </c>
      <c r="C93" s="6" t="s">
        <v>72</v>
      </c>
      <c r="D93" s="80">
        <v>10800</v>
      </c>
      <c r="E93" s="31">
        <v>5155</v>
      </c>
      <c r="F93" s="80">
        <v>4100</v>
      </c>
      <c r="G93" s="31">
        <v>4500</v>
      </c>
      <c r="H93" s="86">
        <v>37330</v>
      </c>
      <c r="I93" s="32">
        <v>20335</v>
      </c>
    </row>
    <row r="94" spans="2:9" ht="15">
      <c r="B94" s="2"/>
      <c r="C94" s="6" t="s">
        <v>73</v>
      </c>
      <c r="D94" s="80">
        <v>500</v>
      </c>
      <c r="E94" s="31">
        <v>80</v>
      </c>
      <c r="F94" s="80">
        <v>3700</v>
      </c>
      <c r="G94" s="31">
        <v>4000</v>
      </c>
      <c r="H94" s="86">
        <v>1520</v>
      </c>
      <c r="I94" s="32">
        <v>265</v>
      </c>
    </row>
    <row r="95" spans="2:9" ht="15">
      <c r="B95" s="2"/>
      <c r="C95" s="6" t="s">
        <v>74</v>
      </c>
      <c r="D95" s="80">
        <v>11840</v>
      </c>
      <c r="E95" s="31"/>
      <c r="F95" s="80">
        <v>3300</v>
      </c>
      <c r="G95" s="31">
        <v>0</v>
      </c>
      <c r="H95" s="86">
        <v>31900</v>
      </c>
      <c r="I95" s="32">
        <v>0</v>
      </c>
    </row>
    <row r="96" spans="2:9" ht="15">
      <c r="B96" s="4"/>
      <c r="C96" s="26" t="s">
        <v>75</v>
      </c>
      <c r="D96" s="71">
        <f>+SUM(D93:D95)</f>
        <v>23140</v>
      </c>
      <c r="E96" s="27">
        <f>+SUM(E93:E95)</f>
        <v>5235</v>
      </c>
      <c r="F96" s="71">
        <v>3688</v>
      </c>
      <c r="G96" s="27">
        <v>4492</v>
      </c>
      <c r="H96" s="71">
        <f>+SUM(H93:H95)</f>
        <v>70750</v>
      </c>
      <c r="I96" s="27">
        <f>+SUM(I93:I95)</f>
        <v>20600</v>
      </c>
    </row>
    <row r="97" spans="2:9" ht="15">
      <c r="B97" s="2" t="s">
        <v>31</v>
      </c>
      <c r="C97" s="6" t="s">
        <v>72</v>
      </c>
      <c r="D97" s="80">
        <v>13770</v>
      </c>
      <c r="E97" s="31">
        <v>2435</v>
      </c>
      <c r="F97" s="80">
        <v>5000</v>
      </c>
      <c r="G97" s="31">
        <v>4800</v>
      </c>
      <c r="H97" s="86">
        <v>61795</v>
      </c>
      <c r="I97" s="32">
        <v>10825</v>
      </c>
    </row>
    <row r="98" spans="2:9" ht="15">
      <c r="B98" s="2"/>
      <c r="C98" s="6" t="s">
        <v>73</v>
      </c>
      <c r="D98" s="80">
        <v>2675</v>
      </c>
      <c r="E98" s="31">
        <v>630</v>
      </c>
      <c r="F98" s="80">
        <v>4400</v>
      </c>
      <c r="G98" s="31">
        <v>3500</v>
      </c>
      <c r="H98" s="86">
        <v>10115</v>
      </c>
      <c r="I98" s="32">
        <v>2000</v>
      </c>
    </row>
    <row r="99" spans="2:9" ht="15">
      <c r="B99" s="2"/>
      <c r="C99" s="6" t="s">
        <v>74</v>
      </c>
      <c r="D99" s="80">
        <v>1825</v>
      </c>
      <c r="E99" s="31"/>
      <c r="F99" s="80">
        <v>3900</v>
      </c>
      <c r="G99" s="31"/>
      <c r="H99" s="86">
        <v>6045</v>
      </c>
      <c r="I99" s="32">
        <v>0</v>
      </c>
    </row>
    <row r="100" spans="2:9" ht="15">
      <c r="B100" s="4"/>
      <c r="C100" s="26" t="s">
        <v>75</v>
      </c>
      <c r="D100" s="71">
        <f>+SUM(D97:D99)</f>
        <v>18270</v>
      </c>
      <c r="E100" s="27">
        <f>+SUM(E97:E99)</f>
        <v>3065</v>
      </c>
      <c r="F100" s="71">
        <v>4810</v>
      </c>
      <c r="G100" s="27">
        <v>4537</v>
      </c>
      <c r="H100" s="71">
        <f>+SUM(H97:H99)</f>
        <v>77955</v>
      </c>
      <c r="I100" s="27">
        <f>+SUM(I97:I99)</f>
        <v>12825</v>
      </c>
    </row>
    <row r="101" spans="2:9" ht="15">
      <c r="B101" s="2" t="s">
        <v>86</v>
      </c>
      <c r="C101" s="6" t="s">
        <v>72</v>
      </c>
      <c r="D101" s="80">
        <v>4505</v>
      </c>
      <c r="E101" s="31">
        <v>1700</v>
      </c>
      <c r="F101" s="80">
        <v>5000</v>
      </c>
      <c r="G101" s="31">
        <v>5000</v>
      </c>
      <c r="H101" s="86">
        <v>19130</v>
      </c>
      <c r="I101" s="32">
        <v>7540</v>
      </c>
    </row>
    <row r="102" spans="2:9" ht="15">
      <c r="B102" s="2"/>
      <c r="C102" s="6" t="s">
        <v>73</v>
      </c>
      <c r="D102" s="80">
        <v>10175</v>
      </c>
      <c r="E102" s="31">
        <v>5900</v>
      </c>
      <c r="F102" s="80">
        <v>4700</v>
      </c>
      <c r="G102" s="31">
        <v>4400</v>
      </c>
      <c r="H102" s="86">
        <v>38350</v>
      </c>
      <c r="I102" s="32">
        <v>22535</v>
      </c>
    </row>
    <row r="103" spans="2:9" ht="15">
      <c r="B103" s="2"/>
      <c r="C103" s="6" t="s">
        <v>74</v>
      </c>
      <c r="D103" s="80">
        <v>2440</v>
      </c>
      <c r="E103" s="31">
        <v>20</v>
      </c>
      <c r="F103" s="80">
        <v>3600</v>
      </c>
      <c r="G103" s="31">
        <v>4000</v>
      </c>
      <c r="H103" s="86">
        <v>6730</v>
      </c>
      <c r="I103" s="32">
        <v>70</v>
      </c>
    </row>
    <row r="104" spans="2:9" ht="15">
      <c r="B104" s="4"/>
      <c r="C104" s="26" t="s">
        <v>75</v>
      </c>
      <c r="D104" s="71">
        <f>+SUM(D101:D103)</f>
        <v>17120</v>
      </c>
      <c r="E104" s="27">
        <f>+SUM(E101:E103)</f>
        <v>7620</v>
      </c>
      <c r="F104" s="71">
        <v>4634</v>
      </c>
      <c r="G104" s="27">
        <v>4536</v>
      </c>
      <c r="H104" s="71">
        <f>+SUM(H101:H103)</f>
        <v>64210</v>
      </c>
      <c r="I104" s="27">
        <f>+SUM(I101:I103)</f>
        <v>30145</v>
      </c>
    </row>
    <row r="105" spans="2:9" ht="15">
      <c r="B105" s="2" t="s">
        <v>87</v>
      </c>
      <c r="C105" s="6" t="s">
        <v>72</v>
      </c>
      <c r="D105" s="80">
        <v>6000</v>
      </c>
      <c r="E105" s="31">
        <v>2740</v>
      </c>
      <c r="F105" s="80">
        <v>4000</v>
      </c>
      <c r="G105" s="31">
        <v>4800</v>
      </c>
      <c r="H105" s="86">
        <v>21740</v>
      </c>
      <c r="I105" s="32">
        <v>11790</v>
      </c>
    </row>
    <row r="106" spans="2:9" ht="15">
      <c r="B106" s="2"/>
      <c r="C106" s="6" t="s">
        <v>73</v>
      </c>
      <c r="D106" s="80">
        <v>4000</v>
      </c>
      <c r="E106" s="31">
        <v>815</v>
      </c>
      <c r="F106" s="80">
        <v>3600</v>
      </c>
      <c r="G106" s="31">
        <v>4500</v>
      </c>
      <c r="H106" s="86">
        <v>12550</v>
      </c>
      <c r="I106" s="32">
        <v>3285</v>
      </c>
    </row>
    <row r="107" spans="2:9" ht="15">
      <c r="B107" s="2"/>
      <c r="C107" s="6" t="s">
        <v>74</v>
      </c>
      <c r="D107" s="80">
        <v>4715</v>
      </c>
      <c r="E107" s="31"/>
      <c r="F107" s="80">
        <v>3200</v>
      </c>
      <c r="G107" s="31">
        <v>0</v>
      </c>
      <c r="H107" s="86">
        <v>12810</v>
      </c>
      <c r="I107" s="32">
        <v>0</v>
      </c>
    </row>
    <row r="108" spans="2:9" ht="15">
      <c r="B108" s="4"/>
      <c r="C108" s="26" t="s">
        <v>75</v>
      </c>
      <c r="D108" s="71">
        <f>+SUM(D105:D107)</f>
        <v>14715</v>
      </c>
      <c r="E108" s="27">
        <f>+SUM(E105:E107)</f>
        <v>3555</v>
      </c>
      <c r="F108" s="71">
        <v>3644</v>
      </c>
      <c r="G108" s="27">
        <v>4731</v>
      </c>
      <c r="H108" s="71">
        <f>+SUM(H105:H107)</f>
        <v>47100</v>
      </c>
      <c r="I108" s="27">
        <f>+SUM(I105:I107)</f>
        <v>15075</v>
      </c>
    </row>
    <row r="109" spans="5:9" ht="15">
      <c r="E109" s="28">
        <v>3</v>
      </c>
      <c r="H109" s="85"/>
      <c r="I109" s="1"/>
    </row>
    <row r="110" spans="8:9" ht="15">
      <c r="H110" s="85"/>
      <c r="I110" s="1"/>
    </row>
    <row r="111" spans="8:9" ht="15">
      <c r="H111" s="85"/>
      <c r="I111" s="1"/>
    </row>
    <row r="112" spans="2:9" ht="18.75">
      <c r="B112" s="14" t="s">
        <v>145</v>
      </c>
      <c r="H112" s="85"/>
      <c r="I112" s="1"/>
    </row>
    <row r="113" spans="8:9" ht="15">
      <c r="H113" s="85"/>
      <c r="I113" s="1"/>
    </row>
    <row r="114" spans="2:9" ht="15">
      <c r="B114" s="15"/>
      <c r="C114" s="16" t="s">
        <v>62</v>
      </c>
      <c r="D114" s="74" t="s">
        <v>63</v>
      </c>
      <c r="E114" s="17"/>
      <c r="F114" s="87" t="s">
        <v>64</v>
      </c>
      <c r="G114" s="88"/>
      <c r="H114" s="84" t="s">
        <v>79</v>
      </c>
      <c r="I114" s="18"/>
    </row>
    <row r="115" spans="2:9" ht="15">
      <c r="B115" s="19" t="s">
        <v>0</v>
      </c>
      <c r="C115" s="20" t="s">
        <v>66</v>
      </c>
      <c r="D115" s="75" t="s">
        <v>67</v>
      </c>
      <c r="E115" s="21"/>
      <c r="F115" s="89" t="s">
        <v>68</v>
      </c>
      <c r="G115" s="90"/>
      <c r="H115" s="91" t="s">
        <v>69</v>
      </c>
      <c r="I115" s="92"/>
    </row>
    <row r="116" spans="2:9" ht="15">
      <c r="B116" s="22"/>
      <c r="C116" s="23"/>
      <c r="D116" s="76" t="s">
        <v>70</v>
      </c>
      <c r="E116" s="24" t="s">
        <v>71</v>
      </c>
      <c r="F116" s="76" t="s">
        <v>70</v>
      </c>
      <c r="G116" s="24" t="s">
        <v>71</v>
      </c>
      <c r="H116" s="76" t="s">
        <v>70</v>
      </c>
      <c r="I116" s="24" t="s">
        <v>71</v>
      </c>
    </row>
    <row r="117" spans="2:9" ht="15">
      <c r="B117" s="2" t="s">
        <v>38</v>
      </c>
      <c r="C117" s="6" t="s">
        <v>72</v>
      </c>
      <c r="D117" s="70">
        <v>20910</v>
      </c>
      <c r="E117" s="8">
        <v>20235</v>
      </c>
      <c r="F117" s="70">
        <v>4600</v>
      </c>
      <c r="G117" s="8">
        <v>4500</v>
      </c>
      <c r="H117" s="70">
        <v>83100</v>
      </c>
      <c r="I117" s="8">
        <v>78670</v>
      </c>
    </row>
    <row r="118" spans="2:9" ht="15">
      <c r="B118" s="2"/>
      <c r="C118" s="6" t="s">
        <v>73</v>
      </c>
      <c r="D118" s="70">
        <v>4935</v>
      </c>
      <c r="E118" s="8">
        <v>2610</v>
      </c>
      <c r="F118" s="70">
        <v>4300</v>
      </c>
      <c r="G118" s="8">
        <v>4000</v>
      </c>
      <c r="H118" s="70">
        <v>17790</v>
      </c>
      <c r="I118" s="8">
        <v>8730</v>
      </c>
    </row>
    <row r="119" spans="2:9" ht="15">
      <c r="B119" s="2"/>
      <c r="C119" s="6" t="s">
        <v>74</v>
      </c>
      <c r="D119" s="70">
        <v>12990</v>
      </c>
      <c r="E119" s="8"/>
      <c r="F119" s="70">
        <v>3900</v>
      </c>
      <c r="G119" s="8">
        <v>0</v>
      </c>
      <c r="H119" s="70">
        <v>42360</v>
      </c>
      <c r="I119" s="8">
        <v>0</v>
      </c>
    </row>
    <row r="120" spans="2:9" ht="15">
      <c r="B120" s="4"/>
      <c r="C120" s="26" t="s">
        <v>75</v>
      </c>
      <c r="D120" s="71">
        <f>+SUM(D117:D119)</f>
        <v>38835</v>
      </c>
      <c r="E120" s="27">
        <f>+SUM(E117:E119)</f>
        <v>22845</v>
      </c>
      <c r="F120" s="71">
        <v>4332</v>
      </c>
      <c r="G120" s="27">
        <v>4445</v>
      </c>
      <c r="H120" s="71">
        <f>+SUM(H117:H119)</f>
        <v>143250</v>
      </c>
      <c r="I120" s="27">
        <f>+SUM(I117:I119)</f>
        <v>87400</v>
      </c>
    </row>
    <row r="121" spans="2:9" ht="15">
      <c r="B121" s="2" t="s">
        <v>36</v>
      </c>
      <c r="C121" s="6" t="s">
        <v>72</v>
      </c>
      <c r="D121" s="70">
        <v>21010</v>
      </c>
      <c r="E121" s="8">
        <v>20300</v>
      </c>
      <c r="F121" s="70">
        <v>3500</v>
      </c>
      <c r="G121" s="8">
        <v>4100</v>
      </c>
      <c r="H121" s="70">
        <v>62450</v>
      </c>
      <c r="I121" s="8">
        <v>70680</v>
      </c>
    </row>
    <row r="122" spans="2:9" ht="15">
      <c r="B122" s="2"/>
      <c r="C122" s="6" t="s">
        <v>73</v>
      </c>
      <c r="D122" s="70">
        <v>3300</v>
      </c>
      <c r="E122" s="8">
        <v>3000</v>
      </c>
      <c r="F122" s="70">
        <v>2800</v>
      </c>
      <c r="G122" s="8">
        <v>4000</v>
      </c>
      <c r="H122" s="70">
        <v>7765</v>
      </c>
      <c r="I122" s="8">
        <v>10190</v>
      </c>
    </row>
    <row r="123" spans="2:9" ht="15">
      <c r="B123" s="2"/>
      <c r="C123" s="6" t="s">
        <v>74</v>
      </c>
      <c r="D123" s="70">
        <v>38900</v>
      </c>
      <c r="E123" s="8"/>
      <c r="F123" s="70">
        <v>2500</v>
      </c>
      <c r="G123" s="8">
        <v>0</v>
      </c>
      <c r="H123" s="70">
        <v>80865</v>
      </c>
      <c r="I123" s="8">
        <v>0</v>
      </c>
    </row>
    <row r="124" spans="2:9" ht="15">
      <c r="B124" s="4"/>
      <c r="C124" s="26" t="s">
        <v>75</v>
      </c>
      <c r="D124" s="71">
        <f>+SUM(D121:D123)</f>
        <v>63210</v>
      </c>
      <c r="E124" s="27">
        <f>+SUM(E121:E123)</f>
        <v>23300</v>
      </c>
      <c r="F124" s="71">
        <v>2853</v>
      </c>
      <c r="G124" s="27">
        <v>4087</v>
      </c>
      <c r="H124" s="71">
        <f>+SUM(H121:H123)</f>
        <v>151080</v>
      </c>
      <c r="I124" s="27">
        <f>+SUM(I121:I123)</f>
        <v>80870</v>
      </c>
    </row>
    <row r="125" spans="2:9" ht="15">
      <c r="B125" s="2" t="s">
        <v>37</v>
      </c>
      <c r="C125" s="6" t="s">
        <v>72</v>
      </c>
      <c r="D125" s="70">
        <v>57500</v>
      </c>
      <c r="E125" s="8">
        <v>56000</v>
      </c>
      <c r="F125" s="70">
        <v>5400</v>
      </c>
      <c r="G125" s="8">
        <v>5400</v>
      </c>
      <c r="H125" s="70">
        <v>281910</v>
      </c>
      <c r="I125" s="8">
        <v>283225</v>
      </c>
    </row>
    <row r="126" spans="2:9" ht="15">
      <c r="B126" s="2"/>
      <c r="C126" s="6" t="s">
        <v>73</v>
      </c>
      <c r="D126" s="70">
        <v>2515</v>
      </c>
      <c r="E126" s="8">
        <v>2465</v>
      </c>
      <c r="F126" s="70">
        <v>4500</v>
      </c>
      <c r="G126" s="8">
        <v>4500</v>
      </c>
      <c r="H126" s="70">
        <v>10165</v>
      </c>
      <c r="I126" s="8">
        <v>10240</v>
      </c>
    </row>
    <row r="127" spans="2:9" ht="15">
      <c r="B127" s="2"/>
      <c r="C127" s="6" t="s">
        <v>74</v>
      </c>
      <c r="D127" s="70">
        <v>15250</v>
      </c>
      <c r="E127" s="8"/>
      <c r="F127" s="70">
        <v>4000</v>
      </c>
      <c r="G127" s="8">
        <v>4000</v>
      </c>
      <c r="H127" s="70">
        <v>54215</v>
      </c>
      <c r="I127" s="8">
        <v>0</v>
      </c>
    </row>
    <row r="128" spans="2:9" ht="15">
      <c r="B128" s="4"/>
      <c r="C128" s="26" t="s">
        <v>75</v>
      </c>
      <c r="D128" s="71">
        <f>+SUM(D125:D127)</f>
        <v>75265</v>
      </c>
      <c r="E128" s="27">
        <f>+SUM(E125:E127)</f>
        <v>58465</v>
      </c>
      <c r="F128" s="71">
        <v>5091</v>
      </c>
      <c r="G128" s="27">
        <v>5363</v>
      </c>
      <c r="H128" s="71">
        <f>+SUM(H125:H127)</f>
        <v>346290</v>
      </c>
      <c r="I128" s="27">
        <f>+SUM(I125:I127)</f>
        <v>293465</v>
      </c>
    </row>
    <row r="129" spans="2:9" ht="15">
      <c r="B129" s="2" t="s">
        <v>88</v>
      </c>
      <c r="C129" s="6" t="s">
        <v>72</v>
      </c>
      <c r="D129" s="70">
        <v>12660</v>
      </c>
      <c r="E129" s="8">
        <v>12345</v>
      </c>
      <c r="F129" s="70">
        <v>6500</v>
      </c>
      <c r="G129" s="8">
        <v>6500</v>
      </c>
      <c r="H129" s="70">
        <v>78120</v>
      </c>
      <c r="I129" s="8">
        <v>68070</v>
      </c>
    </row>
    <row r="130" spans="2:9" ht="15">
      <c r="B130" s="2"/>
      <c r="C130" s="6" t="s">
        <v>73</v>
      </c>
      <c r="D130" s="70"/>
      <c r="E130" s="8"/>
      <c r="F130" s="70"/>
      <c r="G130" s="8"/>
      <c r="H130" s="70">
        <v>0</v>
      </c>
      <c r="I130" s="8">
        <v>0</v>
      </c>
    </row>
    <row r="131" spans="2:9" ht="15">
      <c r="B131" s="2"/>
      <c r="C131" s="6" t="s">
        <v>74</v>
      </c>
      <c r="D131" s="70"/>
      <c r="E131" s="8"/>
      <c r="F131" s="70"/>
      <c r="G131" s="8"/>
      <c r="H131" s="70"/>
      <c r="I131" s="8"/>
    </row>
    <row r="132" spans="2:9" ht="15">
      <c r="B132" s="4"/>
      <c r="C132" s="26" t="s">
        <v>75</v>
      </c>
      <c r="D132" s="71">
        <f aca="true" t="shared" si="0" ref="D132:I132">+SUM(D129:D131)</f>
        <v>12660</v>
      </c>
      <c r="E132" s="27">
        <f t="shared" si="0"/>
        <v>12345</v>
      </c>
      <c r="F132" s="71">
        <f t="shared" si="0"/>
        <v>6500</v>
      </c>
      <c r="G132" s="27">
        <f t="shared" si="0"/>
        <v>6500</v>
      </c>
      <c r="H132" s="71">
        <f t="shared" si="0"/>
        <v>78120</v>
      </c>
      <c r="I132" s="27">
        <f t="shared" si="0"/>
        <v>68070</v>
      </c>
    </row>
    <row r="133" spans="2:9" ht="15">
      <c r="B133" s="2" t="s">
        <v>89</v>
      </c>
      <c r="C133" s="6" t="s">
        <v>72</v>
      </c>
      <c r="D133" s="70">
        <v>29585</v>
      </c>
      <c r="E133" s="8">
        <v>13810</v>
      </c>
      <c r="F133" s="70">
        <v>6000</v>
      </c>
      <c r="G133" s="8">
        <v>6000</v>
      </c>
      <c r="H133" s="70">
        <v>157600</v>
      </c>
      <c r="I133" s="8">
        <v>73740</v>
      </c>
    </row>
    <row r="134" spans="2:9" ht="15">
      <c r="B134" s="2"/>
      <c r="C134" s="6" t="s">
        <v>73</v>
      </c>
      <c r="D134" s="70"/>
      <c r="E134" s="8"/>
      <c r="F134" s="70"/>
      <c r="G134" s="8"/>
      <c r="H134" s="70"/>
      <c r="I134" s="8"/>
    </row>
    <row r="135" spans="2:9" ht="15">
      <c r="B135" s="2"/>
      <c r="C135" s="6" t="s">
        <v>74</v>
      </c>
      <c r="D135" s="70"/>
      <c r="E135" s="8"/>
      <c r="F135" s="70"/>
      <c r="G135" s="8"/>
      <c r="H135" s="70">
        <v>0</v>
      </c>
      <c r="I135" s="8">
        <v>0</v>
      </c>
    </row>
    <row r="136" spans="2:9" ht="15">
      <c r="B136" s="4"/>
      <c r="C136" s="26" t="s">
        <v>75</v>
      </c>
      <c r="D136" s="71">
        <f aca="true" t="shared" si="1" ref="D136:I136">+SUM(D133:D135)</f>
        <v>29585</v>
      </c>
      <c r="E136" s="27">
        <f t="shared" si="1"/>
        <v>13810</v>
      </c>
      <c r="F136" s="71">
        <f t="shared" si="1"/>
        <v>6000</v>
      </c>
      <c r="G136" s="27">
        <f t="shared" si="1"/>
        <v>6000</v>
      </c>
      <c r="H136" s="71">
        <f t="shared" si="1"/>
        <v>157600</v>
      </c>
      <c r="I136" s="27">
        <f t="shared" si="1"/>
        <v>73740</v>
      </c>
    </row>
    <row r="137" spans="2:9" ht="15">
      <c r="B137" s="2" t="s">
        <v>139</v>
      </c>
      <c r="C137" s="6" t="s">
        <v>72</v>
      </c>
      <c r="D137" s="70">
        <v>8830</v>
      </c>
      <c r="E137" s="8">
        <v>6200</v>
      </c>
      <c r="F137" s="70">
        <v>5900</v>
      </c>
      <c r="G137" s="8">
        <v>5900</v>
      </c>
      <c r="H137" s="70">
        <v>46020</v>
      </c>
      <c r="I137" s="8">
        <v>32475</v>
      </c>
    </row>
    <row r="138" spans="2:9" ht="15">
      <c r="B138" s="2"/>
      <c r="C138" s="6" t="s">
        <v>73</v>
      </c>
      <c r="D138" s="70"/>
      <c r="E138" s="8"/>
      <c r="F138" s="70"/>
      <c r="G138" s="8"/>
      <c r="H138" s="70"/>
      <c r="I138" s="8"/>
    </row>
    <row r="139" spans="2:9" ht="15">
      <c r="B139" s="2"/>
      <c r="C139" s="6" t="s">
        <v>74</v>
      </c>
      <c r="D139" s="70"/>
      <c r="E139" s="8"/>
      <c r="F139" s="70"/>
      <c r="G139" s="8"/>
      <c r="H139" s="70"/>
      <c r="I139" s="8"/>
    </row>
    <row r="140" spans="2:9" ht="15">
      <c r="B140" s="2"/>
      <c r="C140" s="26" t="s">
        <v>75</v>
      </c>
      <c r="D140" s="71">
        <f>+SUM(D137:D139)</f>
        <v>8830</v>
      </c>
      <c r="E140" s="8"/>
      <c r="F140" s="70">
        <v>5900</v>
      </c>
      <c r="G140" s="8">
        <v>5900</v>
      </c>
      <c r="H140" s="70"/>
      <c r="I140" s="8"/>
    </row>
    <row r="141" spans="2:9" ht="15">
      <c r="B141" s="68" t="s">
        <v>90</v>
      </c>
      <c r="C141" s="6" t="s">
        <v>72</v>
      </c>
      <c r="D141" s="77">
        <v>18270</v>
      </c>
      <c r="E141" s="25">
        <v>17350</v>
      </c>
      <c r="F141" s="77">
        <v>5700</v>
      </c>
      <c r="G141" s="25">
        <v>5700</v>
      </c>
      <c r="H141" s="77">
        <v>89360</v>
      </c>
      <c r="I141" s="25">
        <v>86610</v>
      </c>
    </row>
    <row r="142" spans="2:9" ht="15">
      <c r="B142" s="2"/>
      <c r="C142" s="6" t="s">
        <v>73</v>
      </c>
      <c r="D142" s="70"/>
      <c r="E142" s="8"/>
      <c r="F142" s="70"/>
      <c r="G142" s="8"/>
      <c r="H142" s="70"/>
      <c r="I142" s="8"/>
    </row>
    <row r="143" spans="2:9" ht="15">
      <c r="B143" s="2"/>
      <c r="C143" s="6" t="s">
        <v>74</v>
      </c>
      <c r="D143" s="70">
        <v>165</v>
      </c>
      <c r="E143" s="8"/>
      <c r="F143" s="70">
        <v>4800</v>
      </c>
      <c r="G143" s="8"/>
      <c r="H143" s="70">
        <v>685</v>
      </c>
      <c r="I143" s="8">
        <v>0</v>
      </c>
    </row>
    <row r="144" spans="2:9" ht="15">
      <c r="B144" s="4"/>
      <c r="C144" s="26" t="s">
        <v>75</v>
      </c>
      <c r="D144" s="71">
        <f>+SUM(D141:D143)</f>
        <v>18435</v>
      </c>
      <c r="E144" s="27">
        <f>+SUM(E141:E143)</f>
        <v>17350</v>
      </c>
      <c r="F144" s="71">
        <v>5692</v>
      </c>
      <c r="G144" s="27">
        <f>+SUM(G141:G143)</f>
        <v>5700</v>
      </c>
      <c r="H144" s="71">
        <f>+SUM(H141:H143)</f>
        <v>90045</v>
      </c>
      <c r="I144" s="27">
        <f>+SUM(I141:I143)</f>
        <v>86610</v>
      </c>
    </row>
    <row r="145" spans="2:9" ht="15">
      <c r="B145" s="2" t="s">
        <v>91</v>
      </c>
      <c r="C145" s="6" t="s">
        <v>72</v>
      </c>
      <c r="D145" s="70">
        <v>21455</v>
      </c>
      <c r="E145" s="8">
        <v>20820</v>
      </c>
      <c r="F145" s="70">
        <v>5800</v>
      </c>
      <c r="G145" s="8">
        <v>5700</v>
      </c>
      <c r="H145" s="70">
        <v>106775</v>
      </c>
      <c r="I145" s="8">
        <v>101829.64978799998</v>
      </c>
    </row>
    <row r="146" spans="2:9" ht="15">
      <c r="B146" s="2"/>
      <c r="C146" s="6" t="s">
        <v>73</v>
      </c>
      <c r="D146" s="70"/>
      <c r="E146" s="8"/>
      <c r="F146" s="70"/>
      <c r="G146" s="8"/>
      <c r="H146" s="70"/>
      <c r="I146" s="8"/>
    </row>
    <row r="147" spans="2:9" ht="15">
      <c r="B147" s="2"/>
      <c r="C147" s="6" t="s">
        <v>74</v>
      </c>
      <c r="D147" s="70">
        <v>980</v>
      </c>
      <c r="E147" s="8"/>
      <c r="F147" s="70">
        <v>4000</v>
      </c>
      <c r="G147" s="8"/>
      <c r="H147" s="70">
        <v>2995</v>
      </c>
      <c r="I147" s="8">
        <v>0</v>
      </c>
    </row>
    <row r="148" spans="2:9" ht="15">
      <c r="B148" s="4"/>
      <c r="C148" s="26" t="s">
        <v>75</v>
      </c>
      <c r="D148" s="71">
        <f>+SUM(D145:D147)</f>
        <v>22435</v>
      </c>
      <c r="E148" s="27">
        <f>+SUM(E145:E147)</f>
        <v>20820</v>
      </c>
      <c r="F148" s="71">
        <v>5730</v>
      </c>
      <c r="G148" s="27">
        <f>+SUM(G145:G147)</f>
        <v>5700</v>
      </c>
      <c r="H148" s="71">
        <f>+SUM(H145:H147)</f>
        <v>109770</v>
      </c>
      <c r="I148" s="27">
        <f>+SUM(I145:I147)</f>
        <v>101829.64978799998</v>
      </c>
    </row>
    <row r="149" spans="2:9" ht="15">
      <c r="B149" s="2" t="s">
        <v>144</v>
      </c>
      <c r="C149" s="6" t="s">
        <v>72</v>
      </c>
      <c r="D149" s="70">
        <v>5700</v>
      </c>
      <c r="E149" s="8">
        <v>5000</v>
      </c>
      <c r="F149" s="70">
        <v>5500</v>
      </c>
      <c r="G149" s="8">
        <v>5400</v>
      </c>
      <c r="H149" s="70">
        <v>27180</v>
      </c>
      <c r="I149" s="8">
        <v>23645</v>
      </c>
    </row>
    <row r="150" spans="2:9" ht="15">
      <c r="B150" s="2"/>
      <c r="C150" s="6" t="s">
        <v>73</v>
      </c>
      <c r="D150" s="70"/>
      <c r="E150" s="8"/>
      <c r="F150" s="70"/>
      <c r="G150" s="8"/>
      <c r="H150" s="70"/>
      <c r="I150" s="8"/>
    </row>
    <row r="151" spans="2:9" ht="15">
      <c r="B151" s="2"/>
      <c r="C151" s="6" t="s">
        <v>74</v>
      </c>
      <c r="D151" s="70">
        <v>95</v>
      </c>
      <c r="E151" s="8"/>
      <c r="F151" s="70">
        <v>4000</v>
      </c>
      <c r="G151" s="8"/>
      <c r="H151" s="70">
        <v>300</v>
      </c>
      <c r="I151" s="8">
        <v>0</v>
      </c>
    </row>
    <row r="152" spans="2:9" ht="15">
      <c r="B152" s="4"/>
      <c r="C152" s="26" t="s">
        <v>75</v>
      </c>
      <c r="D152" s="71">
        <f>+SUM(D149:D151)</f>
        <v>5795</v>
      </c>
      <c r="E152" s="27">
        <f>+SUM(E149:E151)</f>
        <v>5000</v>
      </c>
      <c r="F152" s="71">
        <v>5477</v>
      </c>
      <c r="G152" s="27">
        <f>+SUM(G149:G151)</f>
        <v>5400</v>
      </c>
      <c r="H152" s="71">
        <f>+SUM(H149:H151)</f>
        <v>27480</v>
      </c>
      <c r="I152" s="27">
        <f>+SUM(I149:I151)</f>
        <v>23645</v>
      </c>
    </row>
    <row r="153" spans="2:9" ht="15">
      <c r="B153" s="2" t="s">
        <v>92</v>
      </c>
      <c r="C153" s="6" t="s">
        <v>72</v>
      </c>
      <c r="D153" s="70"/>
      <c r="E153" s="8"/>
      <c r="F153" s="70"/>
      <c r="G153" s="69"/>
      <c r="H153" s="70">
        <v>0</v>
      </c>
      <c r="I153" s="8">
        <v>0</v>
      </c>
    </row>
    <row r="154" spans="2:9" ht="15">
      <c r="B154" s="2"/>
      <c r="C154" s="6" t="s">
        <v>73</v>
      </c>
      <c r="D154" s="70">
        <v>830</v>
      </c>
      <c r="E154" s="8">
        <v>545</v>
      </c>
      <c r="F154" s="70">
        <v>4000</v>
      </c>
      <c r="G154" s="8">
        <v>4000</v>
      </c>
      <c r="H154" s="70">
        <v>2590</v>
      </c>
      <c r="I154" s="8">
        <v>1665</v>
      </c>
    </row>
    <row r="155" spans="2:9" ht="15">
      <c r="B155" s="2"/>
      <c r="C155" s="72" t="s">
        <v>74</v>
      </c>
      <c r="D155" s="70">
        <v>495</v>
      </c>
      <c r="E155" s="8"/>
      <c r="F155" s="70">
        <v>3600</v>
      </c>
      <c r="G155" s="8"/>
      <c r="H155" s="70">
        <v>1145</v>
      </c>
      <c r="I155" s="8"/>
    </row>
    <row r="156" spans="2:9" ht="15">
      <c r="B156" s="4"/>
      <c r="C156" s="26" t="s">
        <v>75</v>
      </c>
      <c r="D156" s="71">
        <f>+SUM(D153:D155)</f>
        <v>1325</v>
      </c>
      <c r="E156" s="27">
        <f>+SUM(E153:E155)</f>
        <v>545</v>
      </c>
      <c r="F156" s="71">
        <v>3867</v>
      </c>
      <c r="G156" s="71">
        <v>4000</v>
      </c>
      <c r="H156" s="71">
        <f>+SUM(H153:H155)</f>
        <v>3735</v>
      </c>
      <c r="I156" s="27">
        <f>+SUM(I153:I155)</f>
        <v>1665</v>
      </c>
    </row>
    <row r="157" spans="2:9" ht="15">
      <c r="B157" s="2" t="s">
        <v>61</v>
      </c>
      <c r="C157" s="6" t="s">
        <v>72</v>
      </c>
      <c r="D157" s="70">
        <f>+SUM(D129+D133+D137+D141+D145+D149+D153)</f>
        <v>96500</v>
      </c>
      <c r="E157" s="8">
        <f>+SUM(E129+E133+E137+E141+E145+E149+E153)</f>
        <v>75525</v>
      </c>
      <c r="F157" s="70">
        <v>5934</v>
      </c>
      <c r="G157" s="70">
        <v>5880</v>
      </c>
      <c r="H157" s="70">
        <f>+SUM(H129+H133+H137+H141+H145+H149+H153)</f>
        <v>505055</v>
      </c>
      <c r="I157" s="8">
        <f>+SUM(I129+I133+I137+I141+I145+I149+I153)</f>
        <v>386369.649788</v>
      </c>
    </row>
    <row r="158" spans="2:9" ht="15">
      <c r="B158" s="2" t="s">
        <v>93</v>
      </c>
      <c r="C158" s="6" t="s">
        <v>73</v>
      </c>
      <c r="D158" s="70">
        <v>830</v>
      </c>
      <c r="E158" s="8">
        <v>545</v>
      </c>
      <c r="F158" s="70">
        <v>4000</v>
      </c>
      <c r="G158" s="70">
        <v>4000</v>
      </c>
      <c r="H158" s="70">
        <v>2590</v>
      </c>
      <c r="I158" s="8">
        <v>1665</v>
      </c>
    </row>
    <row r="159" spans="2:9" ht="15">
      <c r="B159" s="2"/>
      <c r="C159" s="6" t="s">
        <v>74</v>
      </c>
      <c r="D159" s="70">
        <v>1735</v>
      </c>
      <c r="E159" s="8"/>
      <c r="F159" s="70">
        <v>3990</v>
      </c>
      <c r="G159" s="70"/>
      <c r="H159" s="70">
        <v>5125</v>
      </c>
      <c r="I159" s="8"/>
    </row>
    <row r="160" spans="2:9" ht="15">
      <c r="B160" s="4"/>
      <c r="C160" s="26" t="s">
        <v>75</v>
      </c>
      <c r="D160" s="71">
        <f>+SUM(D157:D159)</f>
        <v>99065</v>
      </c>
      <c r="E160" s="27">
        <f>+SUM(E157:E159)</f>
        <v>76070</v>
      </c>
      <c r="F160" s="71">
        <v>5891</v>
      </c>
      <c r="G160" s="71">
        <v>5869</v>
      </c>
      <c r="H160" s="71">
        <f>+SUM(H157:H159)</f>
        <v>512770</v>
      </c>
      <c r="I160" s="27">
        <f>+SUM(I157:I159)</f>
        <v>388034.649788</v>
      </c>
    </row>
    <row r="161" spans="2:9" ht="15">
      <c r="B161" s="33" t="s">
        <v>57</v>
      </c>
      <c r="C161" s="34" t="s">
        <v>72</v>
      </c>
      <c r="D161" s="81">
        <v>365715</v>
      </c>
      <c r="E161" s="35">
        <v>306815</v>
      </c>
      <c r="F161" s="81">
        <v>5251</v>
      </c>
      <c r="G161" s="35">
        <v>5207</v>
      </c>
      <c r="H161" s="81">
        <v>1672910</v>
      </c>
      <c r="I161" s="35">
        <v>1395195</v>
      </c>
    </row>
    <row r="162" spans="2:9" ht="15">
      <c r="B162" s="33"/>
      <c r="C162" s="34" t="s">
        <v>73</v>
      </c>
      <c r="D162" s="81">
        <v>193545</v>
      </c>
      <c r="E162" s="35">
        <v>117940</v>
      </c>
      <c r="F162" s="81">
        <v>4284</v>
      </c>
      <c r="G162" s="35">
        <v>3870</v>
      </c>
      <c r="H162" s="81">
        <v>691935</v>
      </c>
      <c r="I162" s="35">
        <v>389755</v>
      </c>
    </row>
    <row r="163" spans="2:9" ht="15">
      <c r="B163" s="33"/>
      <c r="C163" s="34" t="s">
        <v>74</v>
      </c>
      <c r="D163" s="81">
        <v>234755</v>
      </c>
      <c r="E163" s="35">
        <v>67165</v>
      </c>
      <c r="F163" s="81">
        <v>3401</v>
      </c>
      <c r="G163" s="35">
        <v>3154</v>
      </c>
      <c r="H163" s="81">
        <v>673065</v>
      </c>
      <c r="I163" s="35">
        <v>180570</v>
      </c>
    </row>
    <row r="164" spans="2:9" ht="15">
      <c r="B164" s="22"/>
      <c r="C164" s="36" t="s">
        <v>75</v>
      </c>
      <c r="D164" s="82">
        <v>794015</v>
      </c>
      <c r="E164" s="37">
        <v>491920</v>
      </c>
      <c r="F164" s="82">
        <v>4480</v>
      </c>
      <c r="G164" s="37">
        <v>4615</v>
      </c>
      <c r="H164" s="82">
        <v>3037910</v>
      </c>
      <c r="I164" s="37">
        <v>1965520</v>
      </c>
    </row>
    <row r="165" ht="15">
      <c r="E165" s="28">
        <v>4</v>
      </c>
    </row>
  </sheetData>
  <sheetProtection/>
  <mergeCells count="12">
    <mergeCell ref="F4:G4"/>
    <mergeCell ref="F5:G5"/>
    <mergeCell ref="H5:I5"/>
    <mergeCell ref="F43:G43"/>
    <mergeCell ref="F44:G44"/>
    <mergeCell ref="H44:I44"/>
    <mergeCell ref="F78:G78"/>
    <mergeCell ref="F79:G79"/>
    <mergeCell ref="H79:I79"/>
    <mergeCell ref="F114:G114"/>
    <mergeCell ref="F115:G115"/>
    <mergeCell ref="H115:I11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2:X51"/>
  <sheetViews>
    <sheetView zoomScalePageLayoutView="0" workbookViewId="0" topLeftCell="I1">
      <selection activeCell="I2" sqref="I2"/>
    </sheetView>
  </sheetViews>
  <sheetFormatPr defaultColWidth="9.140625" defaultRowHeight="15"/>
  <cols>
    <col min="2" max="2" width="16.421875" style="0" customWidth="1"/>
    <col min="3" max="24" width="8.7109375" style="0" customWidth="1"/>
  </cols>
  <sheetData>
    <row r="2" ht="18.75">
      <c r="B2" s="14" t="s">
        <v>140</v>
      </c>
    </row>
    <row r="3" ht="18.75">
      <c r="B3" s="14" t="s">
        <v>94</v>
      </c>
    </row>
    <row r="5" spans="2:24" ht="15">
      <c r="B5" s="5" t="s">
        <v>0</v>
      </c>
      <c r="C5" s="10" t="s">
        <v>1</v>
      </c>
      <c r="D5" s="11"/>
      <c r="E5" s="10" t="s">
        <v>2</v>
      </c>
      <c r="F5" s="12"/>
      <c r="G5" s="11" t="s">
        <v>3</v>
      </c>
      <c r="H5" s="11"/>
      <c r="I5" s="10" t="s">
        <v>4</v>
      </c>
      <c r="J5" s="12"/>
      <c r="K5" s="11" t="s">
        <v>5</v>
      </c>
      <c r="L5" s="11"/>
      <c r="M5" s="10" t="s">
        <v>6</v>
      </c>
      <c r="N5" s="12"/>
      <c r="O5" s="10" t="s">
        <v>7</v>
      </c>
      <c r="P5" s="12"/>
      <c r="Q5" s="11" t="s">
        <v>8</v>
      </c>
      <c r="R5" s="11"/>
      <c r="S5" s="10" t="s">
        <v>9</v>
      </c>
      <c r="T5" s="12"/>
      <c r="U5" s="11" t="s">
        <v>10</v>
      </c>
      <c r="V5" s="12"/>
      <c r="W5" s="11" t="s">
        <v>11</v>
      </c>
      <c r="X5" s="12"/>
    </row>
    <row r="6" spans="2:24" ht="15">
      <c r="B6" s="6"/>
      <c r="C6" s="6" t="s">
        <v>12</v>
      </c>
      <c r="D6" s="6" t="s">
        <v>13</v>
      </c>
      <c r="E6" s="6" t="s">
        <v>12</v>
      </c>
      <c r="F6" s="6" t="s">
        <v>13</v>
      </c>
      <c r="G6" s="6" t="s">
        <v>12</v>
      </c>
      <c r="H6" s="6" t="s">
        <v>13</v>
      </c>
      <c r="I6" s="6" t="s">
        <v>12</v>
      </c>
      <c r="J6" s="6" t="s">
        <v>13</v>
      </c>
      <c r="K6" s="6" t="s">
        <v>12</v>
      </c>
      <c r="L6" s="6" t="s">
        <v>13</v>
      </c>
      <c r="M6" s="6" t="s">
        <v>12</v>
      </c>
      <c r="N6" s="6" t="s">
        <v>13</v>
      </c>
      <c r="O6" s="6" t="s">
        <v>12</v>
      </c>
      <c r="P6" s="6" t="s">
        <v>13</v>
      </c>
      <c r="Q6" s="6" t="s">
        <v>12</v>
      </c>
      <c r="R6" s="6" t="s">
        <v>13</v>
      </c>
      <c r="S6" s="6" t="s">
        <v>12</v>
      </c>
      <c r="T6" s="6" t="s">
        <v>13</v>
      </c>
      <c r="U6" s="6" t="s">
        <v>12</v>
      </c>
      <c r="V6" s="6" t="s">
        <v>13</v>
      </c>
      <c r="W6" s="6" t="s">
        <v>12</v>
      </c>
      <c r="X6" s="6" t="s">
        <v>13</v>
      </c>
    </row>
    <row r="7" spans="2:24" ht="15">
      <c r="B7" s="7"/>
      <c r="C7" s="7" t="s">
        <v>14</v>
      </c>
      <c r="D7" s="7" t="s">
        <v>15</v>
      </c>
      <c r="E7" s="7" t="s">
        <v>14</v>
      </c>
      <c r="F7" s="7" t="s">
        <v>15</v>
      </c>
      <c r="G7" s="7" t="s">
        <v>14</v>
      </c>
      <c r="H7" s="7" t="s">
        <v>15</v>
      </c>
      <c r="I7" s="7" t="s">
        <v>14</v>
      </c>
      <c r="J7" s="7" t="s">
        <v>15</v>
      </c>
      <c r="K7" s="7" t="s">
        <v>14</v>
      </c>
      <c r="L7" s="7" t="s">
        <v>15</v>
      </c>
      <c r="M7" s="7" t="s">
        <v>14</v>
      </c>
      <c r="N7" s="7" t="s">
        <v>15</v>
      </c>
      <c r="O7" s="7" t="s">
        <v>14</v>
      </c>
      <c r="P7" s="7" t="s">
        <v>15</v>
      </c>
      <c r="Q7" s="7" t="s">
        <v>14</v>
      </c>
      <c r="R7" s="7" t="s">
        <v>15</v>
      </c>
      <c r="S7" s="7" t="s">
        <v>14</v>
      </c>
      <c r="T7" s="7" t="s">
        <v>15</v>
      </c>
      <c r="U7" s="7" t="s">
        <v>14</v>
      </c>
      <c r="V7" s="7" t="s">
        <v>15</v>
      </c>
      <c r="W7" s="7" t="s">
        <v>14</v>
      </c>
      <c r="X7" s="7" t="s">
        <v>15</v>
      </c>
    </row>
    <row r="8" spans="2:24" ht="15">
      <c r="B8" s="6" t="s">
        <v>16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>
        <v>40</v>
      </c>
      <c r="X8" s="8">
        <v>92.41379310344827</v>
      </c>
    </row>
    <row r="9" spans="2:24" ht="15">
      <c r="B9" s="6" t="s">
        <v>17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>
        <v>75</v>
      </c>
      <c r="X9" s="8">
        <v>180.7142857142857</v>
      </c>
    </row>
    <row r="10" spans="2:24" ht="15">
      <c r="B10" s="6" t="s">
        <v>18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>
        <v>100</v>
      </c>
      <c r="X10" s="8">
        <v>333.6538461538462</v>
      </c>
    </row>
    <row r="11" spans="2:24" ht="15">
      <c r="B11" s="6" t="s">
        <v>19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215</v>
      </c>
      <c r="X11" s="8">
        <v>606.7819249715801</v>
      </c>
    </row>
    <row r="12" spans="2:24" ht="15">
      <c r="B12" s="6" t="s">
        <v>20</v>
      </c>
      <c r="C12" s="8">
        <v>135</v>
      </c>
      <c r="D12" s="8">
        <v>239.44736842105263</v>
      </c>
      <c r="E12" s="8">
        <v>200</v>
      </c>
      <c r="F12" s="8">
        <v>542.0168067226891</v>
      </c>
      <c r="G12" s="8">
        <v>20</v>
      </c>
      <c r="H12" s="8">
        <v>35.33333333333333</v>
      </c>
      <c r="I12" s="8">
        <v>10</v>
      </c>
      <c r="J12" s="8">
        <v>16.363636363636363</v>
      </c>
      <c r="K12" s="8"/>
      <c r="L12" s="8"/>
      <c r="M12" s="8">
        <v>5</v>
      </c>
      <c r="N12" s="8">
        <v>7.5</v>
      </c>
      <c r="O12" s="8">
        <v>2</v>
      </c>
      <c r="P12" s="8">
        <v>1.2258064516129032</v>
      </c>
      <c r="Q12" s="8">
        <v>5</v>
      </c>
      <c r="R12" s="8">
        <v>6.666666666666666</v>
      </c>
      <c r="S12" s="8">
        <v>5</v>
      </c>
      <c r="T12" s="8">
        <v>59.25</v>
      </c>
      <c r="U12" s="8">
        <v>1</v>
      </c>
      <c r="V12" s="8">
        <v>6.666666666666667</v>
      </c>
      <c r="W12" s="8">
        <v>110</v>
      </c>
      <c r="X12" s="8">
        <v>544.8235294117648</v>
      </c>
    </row>
    <row r="13" spans="2:24" ht="15">
      <c r="B13" s="6" t="s">
        <v>21</v>
      </c>
      <c r="C13" s="8">
        <v>210</v>
      </c>
      <c r="D13" s="8">
        <v>323.5406698564593</v>
      </c>
      <c r="E13" s="8">
        <v>1000</v>
      </c>
      <c r="F13" s="8">
        <v>2323.4421364985164</v>
      </c>
      <c r="G13" s="8">
        <v>105</v>
      </c>
      <c r="H13" s="8">
        <v>190.13513513513513</v>
      </c>
      <c r="I13" s="8">
        <v>70</v>
      </c>
      <c r="J13" s="8">
        <v>102.08333333333333</v>
      </c>
      <c r="K13" s="8">
        <v>40</v>
      </c>
      <c r="L13" s="8">
        <v>60</v>
      </c>
      <c r="M13" s="8">
        <v>15</v>
      </c>
      <c r="N13" s="8">
        <v>15</v>
      </c>
      <c r="O13" s="8">
        <v>55</v>
      </c>
      <c r="P13" s="8">
        <v>37.32142857142858</v>
      </c>
      <c r="Q13" s="8">
        <v>110</v>
      </c>
      <c r="R13" s="8">
        <v>227.02127659574467</v>
      </c>
      <c r="S13" s="8">
        <v>35</v>
      </c>
      <c r="T13" s="8">
        <v>245</v>
      </c>
      <c r="U13" s="8">
        <v>15</v>
      </c>
      <c r="V13" s="8">
        <v>155</v>
      </c>
      <c r="W13" s="8">
        <v>385</v>
      </c>
      <c r="X13" s="8">
        <v>1664.2375886524821</v>
      </c>
    </row>
    <row r="14" spans="2:24" ht="15">
      <c r="B14" s="6" t="s">
        <v>22</v>
      </c>
      <c r="C14" s="8">
        <v>320</v>
      </c>
      <c r="D14" s="8">
        <v>213.03621169916437</v>
      </c>
      <c r="E14" s="8">
        <v>360</v>
      </c>
      <c r="F14" s="8">
        <v>352.29357798165137</v>
      </c>
      <c r="G14" s="8">
        <v>1</v>
      </c>
      <c r="H14" s="8">
        <v>1</v>
      </c>
      <c r="I14" s="8">
        <v>25</v>
      </c>
      <c r="J14" s="8">
        <v>28.57142857142857</v>
      </c>
      <c r="K14" s="8">
        <v>27</v>
      </c>
      <c r="L14" s="8">
        <v>30.857142857142854</v>
      </c>
      <c r="M14" s="8">
        <v>5</v>
      </c>
      <c r="N14" s="8">
        <v>5</v>
      </c>
      <c r="O14" s="8">
        <v>1</v>
      </c>
      <c r="P14" s="8">
        <v>1</v>
      </c>
      <c r="Q14" s="8"/>
      <c r="R14" s="8"/>
      <c r="S14" s="8">
        <v>95</v>
      </c>
      <c r="T14" s="8">
        <v>570</v>
      </c>
      <c r="U14" s="8">
        <v>5</v>
      </c>
      <c r="V14" s="8">
        <v>45</v>
      </c>
      <c r="W14" s="8">
        <v>220</v>
      </c>
      <c r="X14" s="8">
        <v>513.6401673640167</v>
      </c>
    </row>
    <row r="15" spans="2:24" ht="15">
      <c r="B15" s="6" t="s">
        <v>23</v>
      </c>
      <c r="C15" s="8">
        <v>665</v>
      </c>
      <c r="D15" s="8">
        <v>776.0242499766763</v>
      </c>
      <c r="E15" s="8">
        <v>1560</v>
      </c>
      <c r="F15" s="8">
        <v>3217.7525212028568</v>
      </c>
      <c r="G15" s="8">
        <v>126</v>
      </c>
      <c r="H15" s="8">
        <v>226.46846846846847</v>
      </c>
      <c r="I15" s="8">
        <v>105</v>
      </c>
      <c r="J15" s="8">
        <v>147.01839826839824</v>
      </c>
      <c r="K15" s="8">
        <v>67</v>
      </c>
      <c r="L15" s="8">
        <v>90.85714285714286</v>
      </c>
      <c r="M15" s="8">
        <v>25</v>
      </c>
      <c r="N15" s="8">
        <v>27.5</v>
      </c>
      <c r="O15" s="8">
        <v>58</v>
      </c>
      <c r="P15" s="8">
        <v>39.54723502304148</v>
      </c>
      <c r="Q15" s="8">
        <v>115</v>
      </c>
      <c r="R15" s="8">
        <v>233.68794326241132</v>
      </c>
      <c r="S15" s="8">
        <v>135</v>
      </c>
      <c r="T15" s="8">
        <v>874.25</v>
      </c>
      <c r="U15" s="8">
        <v>21</v>
      </c>
      <c r="V15" s="8">
        <v>206.66666666666666</v>
      </c>
      <c r="W15" s="8">
        <v>715</v>
      </c>
      <c r="X15" s="8">
        <v>2722.7012854282634</v>
      </c>
    </row>
    <row r="16" spans="2:24" ht="15">
      <c r="B16" s="6" t="s">
        <v>24</v>
      </c>
      <c r="C16" s="8"/>
      <c r="D16" s="8"/>
      <c r="E16" s="8">
        <v>5</v>
      </c>
      <c r="F16" s="8">
        <v>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>
        <v>30</v>
      </c>
      <c r="X16" s="8">
        <v>95.45454545454545</v>
      </c>
    </row>
    <row r="17" spans="2:24" ht="15">
      <c r="B17" s="6" t="s">
        <v>25</v>
      </c>
      <c r="C17" s="8">
        <v>10</v>
      </c>
      <c r="D17" s="8">
        <v>12.5</v>
      </c>
      <c r="E17" s="8">
        <v>5</v>
      </c>
      <c r="F17" s="8">
        <v>11.6</v>
      </c>
      <c r="G17" s="8">
        <v>12</v>
      </c>
      <c r="H17" s="8">
        <v>12</v>
      </c>
      <c r="I17" s="8">
        <v>5</v>
      </c>
      <c r="J17" s="8">
        <v>5</v>
      </c>
      <c r="K17" s="8"/>
      <c r="L17" s="8"/>
      <c r="M17" s="8"/>
      <c r="N17" s="8"/>
      <c r="O17" s="8">
        <v>15</v>
      </c>
      <c r="P17" s="8">
        <v>9.47643</v>
      </c>
      <c r="Q17" s="8"/>
      <c r="R17" s="8"/>
      <c r="S17" s="8"/>
      <c r="T17" s="8"/>
      <c r="U17" s="8"/>
      <c r="V17" s="8"/>
      <c r="W17" s="8">
        <v>65</v>
      </c>
      <c r="X17" s="8">
        <v>167.76190476190476</v>
      </c>
    </row>
    <row r="18" spans="2:24" ht="15">
      <c r="B18" s="6" t="s">
        <v>26</v>
      </c>
      <c r="C18" s="8">
        <v>1000</v>
      </c>
      <c r="D18" s="8">
        <v>1608.695652173913</v>
      </c>
      <c r="E18" s="8">
        <v>1100</v>
      </c>
      <c r="F18" s="8">
        <v>1814.1048824593129</v>
      </c>
      <c r="G18" s="8">
        <v>6500</v>
      </c>
      <c r="H18" s="8">
        <v>8811.513463324049</v>
      </c>
      <c r="I18" s="8">
        <v>1450</v>
      </c>
      <c r="J18" s="8">
        <v>1735.8173076923076</v>
      </c>
      <c r="K18" s="8">
        <v>1</v>
      </c>
      <c r="L18" s="8">
        <v>1</v>
      </c>
      <c r="M18" s="8"/>
      <c r="N18" s="8"/>
      <c r="O18" s="8">
        <v>2015</v>
      </c>
      <c r="P18" s="8">
        <v>1272.9320113314448</v>
      </c>
      <c r="Q18" s="8">
        <v>825</v>
      </c>
      <c r="R18" s="8">
        <v>1031.9218241042345</v>
      </c>
      <c r="S18" s="8">
        <v>115</v>
      </c>
      <c r="T18" s="8">
        <v>798.7837837837837</v>
      </c>
      <c r="U18" s="8">
        <v>10</v>
      </c>
      <c r="V18" s="8">
        <v>40</v>
      </c>
      <c r="W18" s="8">
        <v>805</v>
      </c>
      <c r="X18" s="8">
        <v>2688.4407027818447</v>
      </c>
    </row>
    <row r="19" spans="2:24" ht="15">
      <c r="B19" s="6" t="s">
        <v>27</v>
      </c>
      <c r="C19" s="8">
        <v>1010</v>
      </c>
      <c r="D19" s="8">
        <v>1621.195652173913</v>
      </c>
      <c r="E19" s="8">
        <v>1110</v>
      </c>
      <c r="F19" s="8">
        <v>1830.7048824593128</v>
      </c>
      <c r="G19" s="8">
        <v>6512</v>
      </c>
      <c r="H19" s="8">
        <v>8823.513463324049</v>
      </c>
      <c r="I19" s="8">
        <v>1455</v>
      </c>
      <c r="J19" s="8">
        <v>1740.8173076923076</v>
      </c>
      <c r="K19" s="8">
        <v>1</v>
      </c>
      <c r="L19" s="8">
        <v>1</v>
      </c>
      <c r="M19" s="8">
        <v>0</v>
      </c>
      <c r="N19" s="8">
        <v>0</v>
      </c>
      <c r="O19" s="8">
        <v>2030</v>
      </c>
      <c r="P19" s="8">
        <v>1282.4084413314447</v>
      </c>
      <c r="Q19" s="8">
        <v>825</v>
      </c>
      <c r="R19" s="8">
        <v>1031.9218241042345</v>
      </c>
      <c r="S19" s="8">
        <v>115</v>
      </c>
      <c r="T19" s="8">
        <v>798.7837837837837</v>
      </c>
      <c r="U19" s="8">
        <v>10</v>
      </c>
      <c r="V19" s="8">
        <v>40</v>
      </c>
      <c r="W19" s="8">
        <v>900</v>
      </c>
      <c r="X19" s="8">
        <v>2951.657152998295</v>
      </c>
    </row>
    <row r="20" spans="2:24" ht="15">
      <c r="B20" s="6" t="s">
        <v>28</v>
      </c>
      <c r="C20" s="8">
        <v>175</v>
      </c>
      <c r="D20" s="8">
        <v>133.90151515151516</v>
      </c>
      <c r="E20" s="8">
        <v>65</v>
      </c>
      <c r="F20" s="8">
        <v>59.72972972972973</v>
      </c>
      <c r="G20" s="8">
        <v>185</v>
      </c>
      <c r="H20" s="8">
        <v>106.61016949152543</v>
      </c>
      <c r="I20" s="8">
        <v>190</v>
      </c>
      <c r="J20" s="8">
        <v>95</v>
      </c>
      <c r="K20" s="8"/>
      <c r="L20" s="8"/>
      <c r="M20" s="8">
        <v>500</v>
      </c>
      <c r="N20" s="8">
        <v>243.5897435897436</v>
      </c>
      <c r="O20" s="8">
        <v>1075</v>
      </c>
      <c r="P20" s="8">
        <v>603.2374100719423</v>
      </c>
      <c r="Q20" s="8">
        <v>95</v>
      </c>
      <c r="R20" s="8">
        <v>80.38461538461539</v>
      </c>
      <c r="S20" s="8">
        <v>2270</v>
      </c>
      <c r="T20" s="8">
        <v>30298.98379970545</v>
      </c>
      <c r="U20" s="8">
        <v>10</v>
      </c>
      <c r="V20" s="8">
        <v>74.05405405405405</v>
      </c>
      <c r="W20" s="8">
        <v>760</v>
      </c>
      <c r="X20" s="8">
        <v>1415.24926686217</v>
      </c>
    </row>
    <row r="21" spans="2:24" ht="15">
      <c r="B21" s="6" t="s">
        <v>29</v>
      </c>
      <c r="C21" s="8">
        <v>70</v>
      </c>
      <c r="D21" s="8">
        <v>40.526315789473685</v>
      </c>
      <c r="E21" s="8">
        <v>150</v>
      </c>
      <c r="F21" s="8">
        <v>79.41176470588235</v>
      </c>
      <c r="G21" s="8">
        <v>410</v>
      </c>
      <c r="H21" s="8">
        <v>281.14285714285717</v>
      </c>
      <c r="I21" s="8">
        <v>280</v>
      </c>
      <c r="J21" s="8">
        <v>186.66666666666666</v>
      </c>
      <c r="K21" s="8"/>
      <c r="L21" s="8"/>
      <c r="M21" s="8">
        <v>750</v>
      </c>
      <c r="N21" s="8">
        <v>511.71875</v>
      </c>
      <c r="O21" s="8">
        <v>110</v>
      </c>
      <c r="P21" s="8">
        <v>55</v>
      </c>
      <c r="Q21" s="8">
        <v>425</v>
      </c>
      <c r="R21" s="8">
        <v>307.6359832635983</v>
      </c>
      <c r="S21" s="8">
        <v>165</v>
      </c>
      <c r="T21" s="8">
        <v>1482.3809523809523</v>
      </c>
      <c r="U21" s="8">
        <v>12</v>
      </c>
      <c r="V21" s="8">
        <v>74</v>
      </c>
      <c r="W21" s="8">
        <v>380</v>
      </c>
      <c r="X21" s="8">
        <v>1268.8694</v>
      </c>
    </row>
    <row r="22" spans="2:24" ht="15">
      <c r="B22" s="6" t="s">
        <v>31</v>
      </c>
      <c r="C22" s="8">
        <v>10</v>
      </c>
      <c r="D22" s="8">
        <v>10</v>
      </c>
      <c r="E22" s="8">
        <v>175</v>
      </c>
      <c r="F22" s="8">
        <v>200</v>
      </c>
      <c r="G22" s="8">
        <v>220</v>
      </c>
      <c r="H22" s="8">
        <v>220</v>
      </c>
      <c r="I22" s="8">
        <v>210</v>
      </c>
      <c r="J22" s="8">
        <v>260.4</v>
      </c>
      <c r="K22" s="8">
        <v>2</v>
      </c>
      <c r="L22" s="8">
        <v>2</v>
      </c>
      <c r="M22" s="8">
        <v>300</v>
      </c>
      <c r="N22" s="8">
        <v>323.07692307692304</v>
      </c>
      <c r="O22" s="8">
        <v>55</v>
      </c>
      <c r="P22" s="8">
        <v>36.666666666666664</v>
      </c>
      <c r="Q22" s="8">
        <v>245</v>
      </c>
      <c r="R22" s="8">
        <v>264.44444444444446</v>
      </c>
      <c r="S22" s="8">
        <v>55</v>
      </c>
      <c r="T22" s="8">
        <v>247.5</v>
      </c>
      <c r="U22" s="8">
        <v>1</v>
      </c>
      <c r="V22" s="8">
        <v>7</v>
      </c>
      <c r="W22" s="8">
        <v>275</v>
      </c>
      <c r="X22" s="8">
        <v>631.4814814814815</v>
      </c>
    </row>
    <row r="23" spans="2:24" ht="15">
      <c r="B23" s="6" t="s">
        <v>32</v>
      </c>
      <c r="C23" s="8">
        <v>60</v>
      </c>
      <c r="D23" s="8">
        <v>36</v>
      </c>
      <c r="E23" s="8">
        <v>500</v>
      </c>
      <c r="F23" s="8">
        <v>1970.967741935484</v>
      </c>
      <c r="G23" s="8">
        <v>685</v>
      </c>
      <c r="H23" s="8">
        <v>499.1206030150754</v>
      </c>
      <c r="I23" s="8">
        <v>960</v>
      </c>
      <c r="J23" s="8">
        <v>730.9090909090909</v>
      </c>
      <c r="K23" s="8">
        <v>38</v>
      </c>
      <c r="L23" s="8">
        <v>38</v>
      </c>
      <c r="M23" s="8">
        <v>6550</v>
      </c>
      <c r="N23" s="8">
        <v>8053.232104121475</v>
      </c>
      <c r="O23" s="8">
        <v>375</v>
      </c>
      <c r="P23" s="8">
        <v>222</v>
      </c>
      <c r="Q23" s="8">
        <v>1160</v>
      </c>
      <c r="R23" s="8">
        <v>1258.562091503268</v>
      </c>
      <c r="S23" s="8">
        <v>80</v>
      </c>
      <c r="T23" s="8">
        <v>1081.4814814814815</v>
      </c>
      <c r="U23" s="8"/>
      <c r="V23" s="8"/>
      <c r="W23" s="8">
        <v>370</v>
      </c>
      <c r="X23" s="8">
        <v>2082.12927756654</v>
      </c>
    </row>
    <row r="24" spans="2:24" ht="15">
      <c r="B24" s="6" t="s">
        <v>33</v>
      </c>
      <c r="C24" s="8">
        <v>25</v>
      </c>
      <c r="D24" s="8">
        <v>14.285714285714285</v>
      </c>
      <c r="E24" s="8">
        <v>150</v>
      </c>
      <c r="F24" s="8">
        <v>113.04347826086956</v>
      </c>
      <c r="G24" s="8">
        <v>350</v>
      </c>
      <c r="H24" s="8">
        <v>314.7482014388489</v>
      </c>
      <c r="I24" s="8">
        <v>375</v>
      </c>
      <c r="J24" s="8">
        <v>335.82089552238807</v>
      </c>
      <c r="K24" s="8"/>
      <c r="L24" s="8"/>
      <c r="M24" s="8">
        <v>1500</v>
      </c>
      <c r="N24" s="8">
        <v>1283.600493218249</v>
      </c>
      <c r="O24" s="8">
        <v>320</v>
      </c>
      <c r="P24" s="8">
        <v>160</v>
      </c>
      <c r="Q24" s="8">
        <v>1615</v>
      </c>
      <c r="R24" s="8">
        <v>1115.1190476190477</v>
      </c>
      <c r="S24" s="8">
        <v>55</v>
      </c>
      <c r="T24" s="8">
        <v>521.3043478260869</v>
      </c>
      <c r="U24" s="8">
        <v>10</v>
      </c>
      <c r="V24" s="8">
        <v>55</v>
      </c>
      <c r="W24" s="8">
        <v>370</v>
      </c>
      <c r="X24" s="8">
        <v>2085</v>
      </c>
    </row>
    <row r="25" spans="2:24" ht="15">
      <c r="B25" s="6" t="s">
        <v>35</v>
      </c>
      <c r="C25" s="8">
        <v>340</v>
      </c>
      <c r="D25" s="8">
        <v>234.7135452267031</v>
      </c>
      <c r="E25" s="8">
        <v>1040</v>
      </c>
      <c r="F25" s="8">
        <v>2423.1527146319654</v>
      </c>
      <c r="G25" s="8">
        <v>1850</v>
      </c>
      <c r="H25" s="8">
        <v>1421.6218310883069</v>
      </c>
      <c r="I25" s="8">
        <v>2015</v>
      </c>
      <c r="J25" s="8">
        <v>1608.7966530981457</v>
      </c>
      <c r="K25" s="8">
        <v>40</v>
      </c>
      <c r="L25" s="8">
        <v>40</v>
      </c>
      <c r="M25" s="8">
        <v>9600</v>
      </c>
      <c r="N25" s="8">
        <v>10415.21801400639</v>
      </c>
      <c r="O25" s="8">
        <v>1935</v>
      </c>
      <c r="P25" s="8">
        <v>1076.904076738609</v>
      </c>
      <c r="Q25" s="8">
        <v>3540</v>
      </c>
      <c r="R25" s="8">
        <v>3026.146182214974</v>
      </c>
      <c r="S25" s="8">
        <v>2625</v>
      </c>
      <c r="T25" s="8">
        <v>33631.65058139397</v>
      </c>
      <c r="U25" s="8">
        <v>33</v>
      </c>
      <c r="V25" s="8">
        <v>210.05405405405406</v>
      </c>
      <c r="W25" s="8">
        <v>2155</v>
      </c>
      <c r="X25" s="8">
        <v>7482.729425910193</v>
      </c>
    </row>
    <row r="26" spans="2:24" ht="15">
      <c r="B26" s="6" t="s">
        <v>36</v>
      </c>
      <c r="C26" s="8">
        <v>50</v>
      </c>
      <c r="D26" s="8">
        <v>17.142857142857142</v>
      </c>
      <c r="E26" s="8">
        <v>2200</v>
      </c>
      <c r="F26" s="8">
        <v>2150.1742160278745</v>
      </c>
      <c r="G26" s="8">
        <v>260</v>
      </c>
      <c r="H26" s="8">
        <v>567.0212765957447</v>
      </c>
      <c r="I26" s="8">
        <v>430</v>
      </c>
      <c r="J26" s="8">
        <v>215</v>
      </c>
      <c r="K26" s="8">
        <v>15</v>
      </c>
      <c r="L26" s="8">
        <v>15</v>
      </c>
      <c r="M26" s="8">
        <v>225</v>
      </c>
      <c r="N26" s="8">
        <v>105.46875</v>
      </c>
      <c r="O26" s="8">
        <v>60</v>
      </c>
      <c r="P26" s="8">
        <v>27.272727272727273</v>
      </c>
      <c r="Q26" s="8">
        <v>480</v>
      </c>
      <c r="R26" s="8">
        <v>282.2641509433962</v>
      </c>
      <c r="S26" s="8">
        <v>60</v>
      </c>
      <c r="T26" s="8">
        <v>433.125</v>
      </c>
      <c r="U26" s="8">
        <v>5</v>
      </c>
      <c r="V26" s="8">
        <v>55</v>
      </c>
      <c r="W26" s="8">
        <v>220</v>
      </c>
      <c r="X26" s="8">
        <v>304.3333333333333</v>
      </c>
    </row>
    <row r="27" spans="2:24" ht="15">
      <c r="B27" s="6" t="s">
        <v>37</v>
      </c>
      <c r="C27" s="8">
        <v>175</v>
      </c>
      <c r="D27" s="8">
        <v>147.58064516129033</v>
      </c>
      <c r="E27" s="8">
        <v>17200</v>
      </c>
      <c r="F27" s="8">
        <v>67080</v>
      </c>
      <c r="G27" s="8">
        <v>660</v>
      </c>
      <c r="H27" s="8">
        <v>525.9962049335863</v>
      </c>
      <c r="I27" s="8">
        <v>4190</v>
      </c>
      <c r="J27" s="8">
        <v>3754.786150712831</v>
      </c>
      <c r="K27" s="8"/>
      <c r="L27" s="8"/>
      <c r="M27" s="8">
        <v>45</v>
      </c>
      <c r="N27" s="8">
        <v>35</v>
      </c>
      <c r="O27" s="8">
        <v>85</v>
      </c>
      <c r="P27" s="8">
        <v>68</v>
      </c>
      <c r="Q27" s="8">
        <v>1640</v>
      </c>
      <c r="R27" s="8">
        <v>2767.981220657277</v>
      </c>
      <c r="S27" s="8"/>
      <c r="T27" s="8"/>
      <c r="U27" s="8">
        <v>400</v>
      </c>
      <c r="V27" s="8">
        <v>4000</v>
      </c>
      <c r="W27" s="8">
        <v>700</v>
      </c>
      <c r="X27" s="8">
        <v>1533.5149863760219</v>
      </c>
    </row>
    <row r="28" spans="2:24" ht="15">
      <c r="B28" s="6" t="s">
        <v>38</v>
      </c>
      <c r="C28" s="8">
        <v>35</v>
      </c>
      <c r="D28" s="8">
        <v>23.333333333333332</v>
      </c>
      <c r="E28" s="8">
        <v>1500</v>
      </c>
      <c r="F28" s="8">
        <v>2669.7478991596636</v>
      </c>
      <c r="G28" s="8">
        <v>330</v>
      </c>
      <c r="H28" s="8">
        <v>321.2</v>
      </c>
      <c r="I28" s="8">
        <v>305</v>
      </c>
      <c r="J28" s="8">
        <v>300.93333333333334</v>
      </c>
      <c r="K28" s="8">
        <v>35</v>
      </c>
      <c r="L28" s="8">
        <v>23.333333333333332</v>
      </c>
      <c r="M28" s="8">
        <v>220</v>
      </c>
      <c r="N28" s="8">
        <v>178.75</v>
      </c>
      <c r="O28" s="8">
        <v>75</v>
      </c>
      <c r="P28" s="8">
        <v>51.92307692307692</v>
      </c>
      <c r="Q28" s="8">
        <v>875</v>
      </c>
      <c r="R28" s="8">
        <v>1125.5506607929515</v>
      </c>
      <c r="S28" s="8">
        <v>835</v>
      </c>
      <c r="T28" s="8">
        <v>9088.938053097345</v>
      </c>
      <c r="U28" s="8">
        <v>80</v>
      </c>
      <c r="V28" s="8">
        <v>800</v>
      </c>
      <c r="W28" s="8">
        <v>230</v>
      </c>
      <c r="X28" s="8">
        <v>269.18518518518516</v>
      </c>
    </row>
    <row r="29" spans="2:24" ht="15">
      <c r="B29" s="6" t="s">
        <v>39</v>
      </c>
      <c r="C29" s="8">
        <v>260</v>
      </c>
      <c r="D29" s="8">
        <v>188.05683563748082</v>
      </c>
      <c r="E29" s="8">
        <v>20900</v>
      </c>
      <c r="F29" s="8">
        <v>71899.92211518754</v>
      </c>
      <c r="G29" s="8">
        <v>1250</v>
      </c>
      <c r="H29" s="8">
        <v>1414.217481529331</v>
      </c>
      <c r="I29" s="8">
        <v>4925</v>
      </c>
      <c r="J29" s="8">
        <v>4270.719484046164</v>
      </c>
      <c r="K29" s="8">
        <v>50</v>
      </c>
      <c r="L29" s="8">
        <v>38.33333333333333</v>
      </c>
      <c r="M29" s="8">
        <v>490</v>
      </c>
      <c r="N29" s="8">
        <v>319.21875</v>
      </c>
      <c r="O29" s="8">
        <v>220</v>
      </c>
      <c r="P29" s="8">
        <v>147.19580419580421</v>
      </c>
      <c r="Q29" s="8">
        <v>2995</v>
      </c>
      <c r="R29" s="8">
        <v>4175.796032393624</v>
      </c>
      <c r="S29" s="8">
        <v>895</v>
      </c>
      <c r="T29" s="8">
        <v>9522.063053097345</v>
      </c>
      <c r="U29" s="8">
        <v>485</v>
      </c>
      <c r="V29" s="8">
        <v>4855</v>
      </c>
      <c r="W29" s="8">
        <v>1150</v>
      </c>
      <c r="X29" s="8">
        <v>2107.0335048945403</v>
      </c>
    </row>
    <row r="30" spans="2:24" ht="15">
      <c r="B30" s="6" t="s">
        <v>40</v>
      </c>
      <c r="C30" s="8">
        <v>350</v>
      </c>
      <c r="D30" s="8">
        <v>295.63829787234044</v>
      </c>
      <c r="E30" s="8">
        <v>1000</v>
      </c>
      <c r="F30" s="8">
        <v>850.3620273531778</v>
      </c>
      <c r="G30" s="8">
        <v>1430</v>
      </c>
      <c r="H30" s="8">
        <v>1064.1860465116279</v>
      </c>
      <c r="I30" s="8">
        <v>750</v>
      </c>
      <c r="J30" s="8">
        <v>337.6884422110553</v>
      </c>
      <c r="K30" s="8"/>
      <c r="L30" s="8"/>
      <c r="M30" s="8">
        <v>280</v>
      </c>
      <c r="N30" s="8">
        <v>263.03030303030306</v>
      </c>
      <c r="O30" s="8">
        <v>270</v>
      </c>
      <c r="P30" s="8">
        <v>107.46268656716418</v>
      </c>
      <c r="Q30" s="8">
        <v>1030</v>
      </c>
      <c r="R30" s="8">
        <v>422.0544835414302</v>
      </c>
      <c r="S30" s="8">
        <v>35</v>
      </c>
      <c r="T30" s="8">
        <v>105</v>
      </c>
      <c r="U30" s="8">
        <v>1</v>
      </c>
      <c r="V30" s="8">
        <v>0.4482758620689655</v>
      </c>
      <c r="W30" s="8">
        <v>815</v>
      </c>
      <c r="X30" s="8">
        <v>651.7748618784531</v>
      </c>
    </row>
    <row r="31" spans="2:24" ht="15">
      <c r="B31" s="6" t="s">
        <v>41</v>
      </c>
      <c r="C31" s="8">
        <v>95</v>
      </c>
      <c r="D31" s="8">
        <v>143.39622641509436</v>
      </c>
      <c r="E31" s="8">
        <v>600</v>
      </c>
      <c r="F31" s="8">
        <v>1248.9270386266096</v>
      </c>
      <c r="G31" s="8">
        <v>435</v>
      </c>
      <c r="H31" s="8">
        <v>585.2990033222592</v>
      </c>
      <c r="I31" s="8">
        <v>425</v>
      </c>
      <c r="J31" s="8">
        <v>567.9783950617284</v>
      </c>
      <c r="K31" s="8"/>
      <c r="L31" s="8"/>
      <c r="M31" s="8">
        <v>170</v>
      </c>
      <c r="N31" s="8">
        <v>273.33333333333337</v>
      </c>
      <c r="O31" s="8">
        <v>270</v>
      </c>
      <c r="P31" s="8">
        <v>272.3376623376623</v>
      </c>
      <c r="Q31" s="8">
        <v>875</v>
      </c>
      <c r="R31" s="8">
        <v>1481.4914163090127</v>
      </c>
      <c r="S31" s="8">
        <v>1395</v>
      </c>
      <c r="T31" s="8">
        <v>20637.871240601504</v>
      </c>
      <c r="U31" s="8">
        <v>2</v>
      </c>
      <c r="V31" s="8">
        <v>2</v>
      </c>
      <c r="W31" s="8">
        <v>950</v>
      </c>
      <c r="X31" s="8">
        <v>4246.139240506329</v>
      </c>
    </row>
    <row r="32" spans="2:24" ht="15">
      <c r="B32" s="6" t="s">
        <v>42</v>
      </c>
      <c r="C32" s="8">
        <v>445</v>
      </c>
      <c r="D32" s="8">
        <v>439.0345242874348</v>
      </c>
      <c r="E32" s="8">
        <v>1600</v>
      </c>
      <c r="F32" s="8">
        <v>2099.2890659797877</v>
      </c>
      <c r="G32" s="8">
        <v>1865</v>
      </c>
      <c r="H32" s="8">
        <v>1649.485049833887</v>
      </c>
      <c r="I32" s="8">
        <v>1175</v>
      </c>
      <c r="J32" s="8">
        <v>905.6668372727837</v>
      </c>
      <c r="K32" s="8">
        <v>0</v>
      </c>
      <c r="L32" s="8">
        <v>0</v>
      </c>
      <c r="M32" s="8">
        <v>450</v>
      </c>
      <c r="N32" s="8">
        <v>536.3636363636365</v>
      </c>
      <c r="O32" s="8">
        <v>540</v>
      </c>
      <c r="P32" s="8">
        <v>379.8003489048265</v>
      </c>
      <c r="Q32" s="8">
        <v>1905</v>
      </c>
      <c r="R32" s="8">
        <v>1903.545899850443</v>
      </c>
      <c r="S32" s="8">
        <v>1430</v>
      </c>
      <c r="T32" s="8">
        <v>20742.871240601504</v>
      </c>
      <c r="U32" s="8">
        <v>3</v>
      </c>
      <c r="V32" s="8">
        <v>2.4482758620689653</v>
      </c>
      <c r="W32" s="8">
        <v>1765</v>
      </c>
      <c r="X32" s="8">
        <v>4897.914102384782</v>
      </c>
    </row>
    <row r="33" spans="2:24" ht="15">
      <c r="B33" s="6" t="s">
        <v>43</v>
      </c>
      <c r="C33" s="8">
        <v>2675</v>
      </c>
      <c r="D33" s="8">
        <v>2692.6939266386053</v>
      </c>
      <c r="E33" s="8">
        <v>32500</v>
      </c>
      <c r="F33" s="8">
        <v>85964.55934081819</v>
      </c>
      <c r="G33" s="8">
        <v>1100</v>
      </c>
      <c r="H33" s="8">
        <v>1343.0939226519338</v>
      </c>
      <c r="I33" s="8">
        <v>2130</v>
      </c>
      <c r="J33" s="8">
        <v>2568.1103678929767</v>
      </c>
      <c r="K33" s="8">
        <v>1225</v>
      </c>
      <c r="L33" s="8">
        <v>2018.465909090909</v>
      </c>
      <c r="M33" s="8">
        <v>6750</v>
      </c>
      <c r="N33" s="8">
        <v>6344.334975369458</v>
      </c>
      <c r="O33" s="8">
        <v>375</v>
      </c>
      <c r="P33" s="8">
        <v>349.8803827751196</v>
      </c>
      <c r="Q33" s="8">
        <v>655</v>
      </c>
      <c r="R33" s="8">
        <v>928.1324110671937</v>
      </c>
      <c r="S33" s="8">
        <v>85</v>
      </c>
      <c r="T33" s="8">
        <v>760.7499999999999</v>
      </c>
      <c r="U33" s="8">
        <v>50</v>
      </c>
      <c r="V33" s="8">
        <v>509.42622950819674</v>
      </c>
      <c r="W33" s="8">
        <v>4895</v>
      </c>
      <c r="X33" s="8">
        <v>25014.799498746866</v>
      </c>
    </row>
    <row r="34" spans="2:24" ht="15">
      <c r="B34" s="6" t="s">
        <v>44</v>
      </c>
      <c r="C34" s="8">
        <v>85</v>
      </c>
      <c r="D34" s="8">
        <v>99.33734939759037</v>
      </c>
      <c r="E34" s="8">
        <v>300</v>
      </c>
      <c r="F34" s="8">
        <v>829.0824261275272</v>
      </c>
      <c r="G34" s="8">
        <v>30</v>
      </c>
      <c r="H34" s="8">
        <v>46.55172413793103</v>
      </c>
      <c r="I34" s="8">
        <v>45</v>
      </c>
      <c r="J34" s="8">
        <v>62.58620689655172</v>
      </c>
      <c r="K34" s="8"/>
      <c r="L34" s="8"/>
      <c r="M34" s="8">
        <v>25</v>
      </c>
      <c r="N34" s="8">
        <v>42.391304347826086</v>
      </c>
      <c r="O34" s="8">
        <v>55</v>
      </c>
      <c r="P34" s="8">
        <v>32.7027027027027</v>
      </c>
      <c r="Q34" s="8">
        <v>80</v>
      </c>
      <c r="R34" s="8">
        <v>194.11320754716982</v>
      </c>
      <c r="S34" s="8">
        <v>5</v>
      </c>
      <c r="T34" s="8">
        <v>54.84375</v>
      </c>
      <c r="U34" s="8"/>
      <c r="V34" s="8"/>
      <c r="W34" s="8">
        <v>80</v>
      </c>
      <c r="X34" s="8">
        <v>349.23076923076917</v>
      </c>
    </row>
    <row r="35" spans="2:24" ht="15">
      <c r="B35" s="6" t="s">
        <v>45</v>
      </c>
      <c r="C35" s="8">
        <v>2760</v>
      </c>
      <c r="D35" s="8">
        <v>2792.031276036196</v>
      </c>
      <c r="E35" s="8">
        <v>32800</v>
      </c>
      <c r="F35" s="8">
        <v>86793.64176694572</v>
      </c>
      <c r="G35" s="8">
        <v>1130</v>
      </c>
      <c r="H35" s="8">
        <v>1389.6456467898647</v>
      </c>
      <c r="I35" s="8">
        <v>2175</v>
      </c>
      <c r="J35" s="8">
        <v>2630.6965747895283</v>
      </c>
      <c r="K35" s="8">
        <v>1225</v>
      </c>
      <c r="L35" s="8">
        <v>2018.465909090909</v>
      </c>
      <c r="M35" s="8">
        <v>6775</v>
      </c>
      <c r="N35" s="8">
        <v>6386.726279717284</v>
      </c>
      <c r="O35" s="8">
        <v>430</v>
      </c>
      <c r="P35" s="8">
        <v>382.5830854778223</v>
      </c>
      <c r="Q35" s="8">
        <v>735</v>
      </c>
      <c r="R35" s="8">
        <v>1122.2456186143636</v>
      </c>
      <c r="S35" s="8">
        <v>90</v>
      </c>
      <c r="T35" s="8">
        <v>815.5937499999999</v>
      </c>
      <c r="U35" s="8">
        <v>50</v>
      </c>
      <c r="V35" s="8">
        <v>509.42622950819674</v>
      </c>
      <c r="W35" s="8">
        <v>4975</v>
      </c>
      <c r="X35" s="8">
        <v>25364.030267977636</v>
      </c>
    </row>
    <row r="36" spans="2:24" ht="15">
      <c r="B36" s="6" t="s">
        <v>46</v>
      </c>
      <c r="C36" s="8">
        <v>280</v>
      </c>
      <c r="D36" s="8">
        <v>521.0434782608695</v>
      </c>
      <c r="E36" s="8">
        <v>6000</v>
      </c>
      <c r="F36" s="8">
        <v>12318.101153504882</v>
      </c>
      <c r="G36" s="8">
        <v>150</v>
      </c>
      <c r="H36" s="8">
        <v>148.6238532110092</v>
      </c>
      <c r="I36" s="8">
        <v>230</v>
      </c>
      <c r="J36" s="8">
        <v>251.10091743119264</v>
      </c>
      <c r="K36" s="8">
        <v>15</v>
      </c>
      <c r="L36" s="8">
        <v>26.25</v>
      </c>
      <c r="M36" s="8">
        <v>20</v>
      </c>
      <c r="N36" s="8">
        <v>32.5</v>
      </c>
      <c r="O36" s="8">
        <v>5</v>
      </c>
      <c r="P36" s="8">
        <v>5</v>
      </c>
      <c r="Q36" s="8">
        <v>110</v>
      </c>
      <c r="R36" s="8">
        <v>197.62711864406782</v>
      </c>
      <c r="S36" s="8">
        <v>100</v>
      </c>
      <c r="T36" s="8">
        <v>1000</v>
      </c>
      <c r="U36" s="8"/>
      <c r="V36" s="8"/>
      <c r="W36" s="8">
        <v>500</v>
      </c>
      <c r="X36" s="8">
        <v>1045.138888888889</v>
      </c>
    </row>
    <row r="37" spans="2:24" ht="15">
      <c r="B37" s="6" t="s">
        <v>47</v>
      </c>
      <c r="C37" s="8">
        <v>1190</v>
      </c>
      <c r="D37" s="8">
        <v>1293.3686440677968</v>
      </c>
      <c r="E37" s="8">
        <v>22000</v>
      </c>
      <c r="F37" s="8">
        <v>58600.28196186095</v>
      </c>
      <c r="G37" s="8">
        <v>1990</v>
      </c>
      <c r="H37" s="8">
        <v>2192.2043309272626</v>
      </c>
      <c r="I37" s="8">
        <v>2130</v>
      </c>
      <c r="J37" s="8">
        <v>2748.0635668040027</v>
      </c>
      <c r="K37" s="8"/>
      <c r="L37" s="8"/>
      <c r="M37" s="8">
        <v>600</v>
      </c>
      <c r="N37" s="8">
        <v>593.1034482758621</v>
      </c>
      <c r="O37" s="8">
        <v>590</v>
      </c>
      <c r="P37" s="8">
        <v>349.2944785276074</v>
      </c>
      <c r="Q37" s="8">
        <v>3285</v>
      </c>
      <c r="R37" s="8">
        <v>6712.664274924471</v>
      </c>
      <c r="S37" s="8">
        <v>135</v>
      </c>
      <c r="T37" s="8">
        <v>1359.5070422535211</v>
      </c>
      <c r="U37" s="8">
        <v>2</v>
      </c>
      <c r="V37" s="8">
        <v>20</v>
      </c>
      <c r="W37" s="8">
        <v>1305</v>
      </c>
      <c r="X37" s="8">
        <v>5106.651428571428</v>
      </c>
    </row>
    <row r="38" spans="2:24" ht="15">
      <c r="B38" s="6" t="s">
        <v>48</v>
      </c>
      <c r="C38" s="8">
        <v>1470</v>
      </c>
      <c r="D38" s="8">
        <v>1814.4121223286663</v>
      </c>
      <c r="E38" s="8">
        <v>28000</v>
      </c>
      <c r="F38" s="8">
        <v>70918.38311536584</v>
      </c>
      <c r="G38" s="8">
        <v>2140</v>
      </c>
      <c r="H38" s="8">
        <v>2340.828184138272</v>
      </c>
      <c r="I38" s="8">
        <v>2360</v>
      </c>
      <c r="J38" s="8">
        <v>2999.1644842351952</v>
      </c>
      <c r="K38" s="8">
        <v>15</v>
      </c>
      <c r="L38" s="8">
        <v>26.25</v>
      </c>
      <c r="M38" s="8">
        <v>620</v>
      </c>
      <c r="N38" s="8">
        <v>625.6034482758621</v>
      </c>
      <c r="O38" s="8">
        <v>595</v>
      </c>
      <c r="P38" s="8">
        <v>354.2944785276074</v>
      </c>
      <c r="Q38" s="8">
        <v>3395</v>
      </c>
      <c r="R38" s="8">
        <v>6910.291393568539</v>
      </c>
      <c r="S38" s="8">
        <v>235</v>
      </c>
      <c r="T38" s="8">
        <v>2359.507042253521</v>
      </c>
      <c r="U38" s="8">
        <v>2</v>
      </c>
      <c r="V38" s="8">
        <v>20</v>
      </c>
      <c r="W38" s="8">
        <v>1805</v>
      </c>
      <c r="X38" s="8">
        <v>6151.790317460317</v>
      </c>
    </row>
    <row r="39" spans="2:24" ht="15">
      <c r="B39" s="6" t="s">
        <v>49</v>
      </c>
      <c r="C39" s="8">
        <v>235</v>
      </c>
      <c r="D39" s="8">
        <v>218.75576036866357</v>
      </c>
      <c r="E39" s="8">
        <v>300</v>
      </c>
      <c r="F39" s="8">
        <v>392</v>
      </c>
      <c r="G39" s="8">
        <v>350</v>
      </c>
      <c r="H39" s="8">
        <v>315.45064377682405</v>
      </c>
      <c r="I39" s="8">
        <v>275</v>
      </c>
      <c r="J39" s="8">
        <v>325</v>
      </c>
      <c r="K39" s="8"/>
      <c r="L39" s="8"/>
      <c r="M39" s="8"/>
      <c r="N39" s="8"/>
      <c r="O39" s="8">
        <v>130</v>
      </c>
      <c r="P39" s="8">
        <v>84.3859649122807</v>
      </c>
      <c r="Q39" s="8">
        <v>545</v>
      </c>
      <c r="R39" s="8">
        <v>487.17041800643085</v>
      </c>
      <c r="S39" s="8">
        <v>85</v>
      </c>
      <c r="T39" s="8">
        <v>479.64285714285717</v>
      </c>
      <c r="U39" s="8"/>
      <c r="V39" s="8"/>
      <c r="W39" s="8">
        <v>245</v>
      </c>
      <c r="X39" s="8">
        <v>810.7272727272727</v>
      </c>
    </row>
    <row r="40" spans="2:24" ht="15">
      <c r="B40" s="6" t="s">
        <v>50</v>
      </c>
      <c r="C40" s="8"/>
      <c r="D40" s="8"/>
      <c r="E40" s="8">
        <v>40</v>
      </c>
      <c r="F40" s="8">
        <v>128.88888888888889</v>
      </c>
      <c r="G40" s="8">
        <v>5</v>
      </c>
      <c r="H40" s="8">
        <v>14.166666666666668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>
        <v>80</v>
      </c>
      <c r="X40" s="8">
        <v>212.97297297297297</v>
      </c>
    </row>
    <row r="41" spans="2:24" ht="15">
      <c r="B41" s="6" t="s">
        <v>51</v>
      </c>
      <c r="C41" s="8">
        <v>235</v>
      </c>
      <c r="D41" s="8">
        <v>218.75576036866357</v>
      </c>
      <c r="E41" s="8">
        <v>340</v>
      </c>
      <c r="F41" s="8">
        <v>520.8888888888889</v>
      </c>
      <c r="G41" s="8">
        <v>355</v>
      </c>
      <c r="H41" s="8">
        <v>329.61731044349074</v>
      </c>
      <c r="I41" s="8">
        <v>275</v>
      </c>
      <c r="J41" s="8">
        <v>325</v>
      </c>
      <c r="K41" s="8">
        <v>0</v>
      </c>
      <c r="L41" s="8">
        <v>0</v>
      </c>
      <c r="M41" s="8">
        <v>0</v>
      </c>
      <c r="N41" s="8">
        <v>0</v>
      </c>
      <c r="O41" s="8">
        <v>130</v>
      </c>
      <c r="P41" s="8">
        <v>84.3859649122807</v>
      </c>
      <c r="Q41" s="8">
        <v>545</v>
      </c>
      <c r="R41" s="8">
        <v>487.17041800643085</v>
      </c>
      <c r="S41" s="8">
        <v>85</v>
      </c>
      <c r="T41" s="8">
        <v>479.64285714285717</v>
      </c>
      <c r="U41" s="8">
        <v>0</v>
      </c>
      <c r="V41" s="8">
        <v>0</v>
      </c>
      <c r="W41" s="8">
        <v>325</v>
      </c>
      <c r="X41" s="8">
        <v>1023.7002457002457</v>
      </c>
    </row>
    <row r="42" spans="2:24" ht="15">
      <c r="B42" s="6" t="s">
        <v>52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2:24" ht="15">
      <c r="B43" s="6" t="s">
        <v>53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2:24" ht="15">
      <c r="B44" s="6" t="s">
        <v>54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2:24" ht="15">
      <c r="B45" s="6" t="s">
        <v>55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2:24" ht="15">
      <c r="B46" s="7" t="s">
        <v>56</v>
      </c>
      <c r="C46" s="9">
        <v>380</v>
      </c>
      <c r="D46" s="9">
        <v>760</v>
      </c>
      <c r="E46" s="9">
        <v>1509</v>
      </c>
      <c r="F46" s="9">
        <v>3774</v>
      </c>
      <c r="G46" s="9">
        <v>590</v>
      </c>
      <c r="H46" s="9">
        <v>885</v>
      </c>
      <c r="I46" s="9">
        <v>660</v>
      </c>
      <c r="J46" s="9">
        <v>990</v>
      </c>
      <c r="K46" s="9">
        <v>1000</v>
      </c>
      <c r="L46" s="9">
        <v>2009</v>
      </c>
      <c r="M46" s="9">
        <v>65</v>
      </c>
      <c r="N46" s="9">
        <v>118</v>
      </c>
      <c r="O46" s="9">
        <v>100</v>
      </c>
      <c r="P46" s="9">
        <v>70</v>
      </c>
      <c r="Q46" s="9">
        <v>275</v>
      </c>
      <c r="R46" s="9">
        <v>660</v>
      </c>
      <c r="S46" s="9">
        <v>90</v>
      </c>
      <c r="T46" s="9">
        <v>1156</v>
      </c>
      <c r="U46" s="9">
        <v>10</v>
      </c>
      <c r="V46" s="9">
        <v>10</v>
      </c>
      <c r="W46" s="9">
        <v>535</v>
      </c>
      <c r="X46" s="9">
        <v>669</v>
      </c>
    </row>
    <row r="47" spans="2:24" ht="15">
      <c r="B47" s="36" t="s">
        <v>57</v>
      </c>
      <c r="C47" s="37">
        <v>7565</v>
      </c>
      <c r="D47" s="37">
        <v>8844.223966035734</v>
      </c>
      <c r="E47" s="37">
        <v>88859</v>
      </c>
      <c r="F47" s="37">
        <v>243477.7350706619</v>
      </c>
      <c r="G47" s="37">
        <v>15818</v>
      </c>
      <c r="H47" s="37">
        <v>18480.39743561567</v>
      </c>
      <c r="I47" s="37">
        <v>15145</v>
      </c>
      <c r="J47" s="37">
        <v>15617.879739402524</v>
      </c>
      <c r="K47" s="37">
        <v>2398</v>
      </c>
      <c r="L47" s="37">
        <v>4223.906385281385</v>
      </c>
      <c r="M47" s="37">
        <v>18025</v>
      </c>
      <c r="N47" s="37">
        <v>18428.630128363173</v>
      </c>
      <c r="O47" s="37">
        <v>6038</v>
      </c>
      <c r="P47" s="37">
        <v>3817.119435111436</v>
      </c>
      <c r="Q47" s="37">
        <v>14330</v>
      </c>
      <c r="R47" s="37">
        <v>19550.80531201502</v>
      </c>
      <c r="S47" s="37">
        <v>5700</v>
      </c>
      <c r="T47" s="37">
        <v>70380.36230827298</v>
      </c>
      <c r="U47" s="37">
        <v>614</v>
      </c>
      <c r="V47" s="37">
        <v>5853.595226090987</v>
      </c>
      <c r="W47" s="37">
        <v>14540</v>
      </c>
      <c r="X47" s="37">
        <v>53977.33822772585</v>
      </c>
    </row>
    <row r="51" ht="15">
      <c r="L51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B2:X57"/>
  <sheetViews>
    <sheetView zoomScalePageLayoutView="0" workbookViewId="0" topLeftCell="I1">
      <selection activeCell="H7" sqref="H7"/>
    </sheetView>
  </sheetViews>
  <sheetFormatPr defaultColWidth="9.140625" defaultRowHeight="15"/>
  <cols>
    <col min="2" max="2" width="15.57421875" style="0" customWidth="1"/>
    <col min="3" max="24" width="8.7109375" style="0" customWidth="1"/>
  </cols>
  <sheetData>
    <row r="2" ht="18.75">
      <c r="B2" s="14" t="s">
        <v>141</v>
      </c>
    </row>
    <row r="3" ht="24.75" customHeight="1">
      <c r="B3" s="14" t="s">
        <v>94</v>
      </c>
    </row>
    <row r="4" spans="2:24" ht="15">
      <c r="B4" s="5" t="s">
        <v>0</v>
      </c>
      <c r="C4" s="10" t="s">
        <v>1</v>
      </c>
      <c r="D4" s="11"/>
      <c r="E4" s="10" t="s">
        <v>2</v>
      </c>
      <c r="F4" s="12"/>
      <c r="G4" s="11" t="s">
        <v>3</v>
      </c>
      <c r="H4" s="11"/>
      <c r="I4" s="10" t="s">
        <v>4</v>
      </c>
      <c r="J4" s="12"/>
      <c r="K4" s="11" t="s">
        <v>5</v>
      </c>
      <c r="L4" s="11"/>
      <c r="M4" s="10" t="s">
        <v>6</v>
      </c>
      <c r="N4" s="12"/>
      <c r="O4" s="10" t="s">
        <v>7</v>
      </c>
      <c r="P4" s="12"/>
      <c r="Q4" s="11" t="s">
        <v>8</v>
      </c>
      <c r="R4" s="11"/>
      <c r="S4" s="10" t="s">
        <v>9</v>
      </c>
      <c r="T4" s="12"/>
      <c r="U4" s="11" t="s">
        <v>10</v>
      </c>
      <c r="V4" s="12"/>
      <c r="W4" s="11" t="s">
        <v>58</v>
      </c>
      <c r="X4" s="12"/>
    </row>
    <row r="5" spans="2:24" ht="15">
      <c r="B5" s="6"/>
      <c r="C5" s="6" t="s">
        <v>12</v>
      </c>
      <c r="D5" s="6" t="s">
        <v>13</v>
      </c>
      <c r="E5" s="6" t="s">
        <v>12</v>
      </c>
      <c r="F5" s="6" t="s">
        <v>13</v>
      </c>
      <c r="G5" s="6" t="s">
        <v>12</v>
      </c>
      <c r="H5" s="6" t="s">
        <v>13</v>
      </c>
      <c r="I5" s="6" t="s">
        <v>12</v>
      </c>
      <c r="J5" s="6" t="s">
        <v>13</v>
      </c>
      <c r="K5" s="6" t="s">
        <v>12</v>
      </c>
      <c r="L5" s="6" t="s">
        <v>13</v>
      </c>
      <c r="M5" s="6" t="s">
        <v>12</v>
      </c>
      <c r="N5" s="6" t="s">
        <v>13</v>
      </c>
      <c r="O5" s="6" t="s">
        <v>12</v>
      </c>
      <c r="P5" s="6" t="s">
        <v>13</v>
      </c>
      <c r="Q5" s="6" t="s">
        <v>12</v>
      </c>
      <c r="R5" s="6" t="s">
        <v>13</v>
      </c>
      <c r="S5" s="6" t="s">
        <v>12</v>
      </c>
      <c r="T5" s="6" t="s">
        <v>13</v>
      </c>
      <c r="U5" s="6" t="s">
        <v>12</v>
      </c>
      <c r="V5" s="6" t="s">
        <v>13</v>
      </c>
      <c r="W5" s="6" t="s">
        <v>12</v>
      </c>
      <c r="X5" s="6" t="s">
        <v>13</v>
      </c>
    </row>
    <row r="6" spans="2:24" ht="15">
      <c r="B6" s="7"/>
      <c r="C6" s="7" t="s">
        <v>14</v>
      </c>
      <c r="D6" s="7" t="s">
        <v>15</v>
      </c>
      <c r="E6" s="7" t="s">
        <v>14</v>
      </c>
      <c r="F6" s="7" t="s">
        <v>15</v>
      </c>
      <c r="G6" s="7" t="s">
        <v>14</v>
      </c>
      <c r="H6" s="7" t="s">
        <v>15</v>
      </c>
      <c r="I6" s="7" t="s">
        <v>14</v>
      </c>
      <c r="J6" s="7" t="s">
        <v>15</v>
      </c>
      <c r="K6" s="7" t="s">
        <v>14</v>
      </c>
      <c r="L6" s="7" t="s">
        <v>15</v>
      </c>
      <c r="M6" s="7" t="s">
        <v>14</v>
      </c>
      <c r="N6" s="7" t="s">
        <v>15</v>
      </c>
      <c r="O6" s="7" t="s">
        <v>14</v>
      </c>
      <c r="P6" s="7" t="s">
        <v>15</v>
      </c>
      <c r="Q6" s="7" t="s">
        <v>14</v>
      </c>
      <c r="R6" s="7" t="s">
        <v>15</v>
      </c>
      <c r="S6" s="7" t="s">
        <v>14</v>
      </c>
      <c r="T6" s="7" t="s">
        <v>15</v>
      </c>
      <c r="U6" s="7" t="s">
        <v>14</v>
      </c>
      <c r="V6" s="7" t="s">
        <v>15</v>
      </c>
      <c r="W6" s="7" t="s">
        <v>14</v>
      </c>
      <c r="X6" s="7" t="s">
        <v>15</v>
      </c>
    </row>
    <row r="7" spans="2:24" ht="15">
      <c r="B7" s="6" t="s">
        <v>16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>
        <v>35</v>
      </c>
      <c r="X7" s="8">
        <v>61.09090909090925</v>
      </c>
    </row>
    <row r="8" spans="2:24" ht="15">
      <c r="B8" s="6" t="s">
        <v>17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>
        <v>55</v>
      </c>
      <c r="X8" s="8">
        <v>96.25</v>
      </c>
    </row>
    <row r="9" spans="2:24" ht="15">
      <c r="B9" s="6" t="s">
        <v>18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>
        <v>80</v>
      </c>
      <c r="X9" s="8">
        <v>139.636363636364</v>
      </c>
    </row>
    <row r="10" spans="2:24" ht="15">
      <c r="B10" s="6" t="s">
        <v>19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170</v>
      </c>
      <c r="X10" s="8">
        <v>296.9772727272732</v>
      </c>
    </row>
    <row r="11" spans="2:24" ht="15">
      <c r="B11" s="6" t="s">
        <v>20</v>
      </c>
      <c r="C11" s="8">
        <v>55</v>
      </c>
      <c r="D11" s="8">
        <v>145.13888888888889</v>
      </c>
      <c r="E11" s="8">
        <v>200</v>
      </c>
      <c r="F11" s="8">
        <v>744</v>
      </c>
      <c r="G11" s="8">
        <v>15</v>
      </c>
      <c r="H11" s="8">
        <v>40.714285714285715</v>
      </c>
      <c r="I11" s="8">
        <v>10</v>
      </c>
      <c r="J11" s="8">
        <v>20.434782608695656</v>
      </c>
      <c r="K11" s="8"/>
      <c r="L11" s="8"/>
      <c r="M11" s="8">
        <v>5</v>
      </c>
      <c r="N11" s="8">
        <v>6.5</v>
      </c>
      <c r="O11" s="8">
        <v>3</v>
      </c>
      <c r="P11" s="8">
        <v>5.25</v>
      </c>
      <c r="Q11" s="8">
        <v>2</v>
      </c>
      <c r="R11" s="8">
        <v>0</v>
      </c>
      <c r="S11" s="8">
        <v>30</v>
      </c>
      <c r="T11" s="8">
        <v>380.8333333333333</v>
      </c>
      <c r="U11" s="8">
        <v>1</v>
      </c>
      <c r="V11" s="8">
        <v>0</v>
      </c>
      <c r="W11" s="8">
        <v>285</v>
      </c>
      <c r="X11" s="8">
        <v>1316.5882352941176</v>
      </c>
    </row>
    <row r="12" spans="2:24" ht="15">
      <c r="B12" s="6" t="s">
        <v>21</v>
      </c>
      <c r="C12" s="8">
        <v>30</v>
      </c>
      <c r="D12" s="8">
        <v>58</v>
      </c>
      <c r="E12" s="8">
        <v>500</v>
      </c>
      <c r="F12" s="8">
        <v>1031.25</v>
      </c>
      <c r="G12" s="8">
        <v>290</v>
      </c>
      <c r="H12" s="8">
        <v>596.2616822429906</v>
      </c>
      <c r="I12" s="8">
        <v>75</v>
      </c>
      <c r="J12" s="8">
        <v>92.3076923076923</v>
      </c>
      <c r="K12" s="8">
        <v>155</v>
      </c>
      <c r="L12" s="8">
        <v>220.99009900990097</v>
      </c>
      <c r="M12" s="8">
        <v>10</v>
      </c>
      <c r="N12" s="8">
        <v>13.333333333333332</v>
      </c>
      <c r="O12" s="8">
        <v>60</v>
      </c>
      <c r="P12" s="8">
        <v>45.71428571428571</v>
      </c>
      <c r="Q12" s="8">
        <v>165</v>
      </c>
      <c r="R12" s="8">
        <v>377.1428571428571</v>
      </c>
      <c r="S12" s="8">
        <v>65</v>
      </c>
      <c r="T12" s="8">
        <v>390</v>
      </c>
      <c r="U12" s="8">
        <v>3560</v>
      </c>
      <c r="V12" s="8">
        <v>50725.291005291</v>
      </c>
      <c r="W12" s="8">
        <v>600</v>
      </c>
      <c r="X12" s="8">
        <v>2401.764705882353</v>
      </c>
    </row>
    <row r="13" spans="2:24" ht="15">
      <c r="B13" s="6" t="s">
        <v>22</v>
      </c>
      <c r="C13" s="8">
        <v>225</v>
      </c>
      <c r="D13" s="8">
        <v>112.5</v>
      </c>
      <c r="E13" s="8">
        <v>350</v>
      </c>
      <c r="F13" s="8">
        <v>244.75524475524475</v>
      </c>
      <c r="G13" s="8">
        <v>10</v>
      </c>
      <c r="H13" s="8">
        <v>13.333333333333332</v>
      </c>
      <c r="I13" s="8">
        <v>30</v>
      </c>
      <c r="J13" s="8">
        <v>37.5</v>
      </c>
      <c r="K13" s="8">
        <v>20</v>
      </c>
      <c r="L13" s="8">
        <v>20</v>
      </c>
      <c r="M13" s="8">
        <v>1</v>
      </c>
      <c r="N13" s="8">
        <v>1.3</v>
      </c>
      <c r="O13" s="8">
        <v>2</v>
      </c>
      <c r="P13" s="8">
        <v>2</v>
      </c>
      <c r="Q13" s="8"/>
      <c r="R13" s="8"/>
      <c r="S13" s="8">
        <v>85</v>
      </c>
      <c r="T13" s="8">
        <v>646.3541666666667</v>
      </c>
      <c r="U13" s="8">
        <v>5</v>
      </c>
      <c r="V13" s="8">
        <v>70</v>
      </c>
      <c r="W13" s="8">
        <v>125</v>
      </c>
      <c r="X13" s="8">
        <v>325.23148148148147</v>
      </c>
    </row>
    <row r="14" spans="2:24" ht="15">
      <c r="B14" s="6" t="s">
        <v>23</v>
      </c>
      <c r="C14" s="8">
        <v>310</v>
      </c>
      <c r="D14" s="8">
        <v>315.6388888888889</v>
      </c>
      <c r="E14" s="8">
        <v>1050</v>
      </c>
      <c r="F14" s="8">
        <v>2020.0052447552448</v>
      </c>
      <c r="G14" s="8">
        <v>315</v>
      </c>
      <c r="H14" s="8">
        <v>650.3093012906096</v>
      </c>
      <c r="I14" s="8">
        <v>115</v>
      </c>
      <c r="J14" s="8">
        <v>150.24247491638795</v>
      </c>
      <c r="K14" s="8">
        <v>175</v>
      </c>
      <c r="L14" s="8">
        <v>240.99009900990097</v>
      </c>
      <c r="M14" s="8">
        <v>16</v>
      </c>
      <c r="N14" s="8">
        <v>21.133333333333333</v>
      </c>
      <c r="O14" s="8">
        <v>65</v>
      </c>
      <c r="P14" s="8">
        <v>52.96428571428571</v>
      </c>
      <c r="Q14" s="8">
        <v>167</v>
      </c>
      <c r="R14" s="8"/>
      <c r="S14" s="8">
        <v>172</v>
      </c>
      <c r="T14" s="8">
        <v>1417.1875</v>
      </c>
      <c r="U14" s="8">
        <v>3566</v>
      </c>
      <c r="V14" s="8">
        <v>50795.291005291</v>
      </c>
      <c r="W14" s="8">
        <v>1010</v>
      </c>
      <c r="X14" s="8">
        <v>4043.584422657952</v>
      </c>
    </row>
    <row r="15" spans="2:24" ht="15">
      <c r="B15" s="6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>
        <v>35</v>
      </c>
      <c r="X15" s="8">
        <v>61.09090909090925</v>
      </c>
    </row>
    <row r="16" spans="2:24" ht="15">
      <c r="B16" s="6" t="s">
        <v>25</v>
      </c>
      <c r="C16" s="8">
        <v>10</v>
      </c>
      <c r="D16" s="8">
        <v>12.5</v>
      </c>
      <c r="E16" s="8">
        <v>10</v>
      </c>
      <c r="F16" s="8">
        <v>15</v>
      </c>
      <c r="G16" s="8">
        <v>10</v>
      </c>
      <c r="H16" s="8">
        <v>20</v>
      </c>
      <c r="I16" s="8">
        <v>5</v>
      </c>
      <c r="J16" s="8">
        <v>6.1428571428571495</v>
      </c>
      <c r="K16" s="8"/>
      <c r="L16" s="8"/>
      <c r="M16" s="8"/>
      <c r="N16" s="8"/>
      <c r="O16" s="8">
        <v>5</v>
      </c>
      <c r="P16" s="8"/>
      <c r="Q16" s="8"/>
      <c r="R16" s="8"/>
      <c r="S16" s="8"/>
      <c r="T16" s="8"/>
      <c r="U16" s="8"/>
      <c r="V16" s="8"/>
      <c r="W16" s="8">
        <v>55</v>
      </c>
      <c r="X16" s="8">
        <v>138.57142857142858</v>
      </c>
    </row>
    <row r="17" spans="2:24" ht="15">
      <c r="B17" s="6" t="s">
        <v>26</v>
      </c>
      <c r="C17" s="8">
        <v>90</v>
      </c>
      <c r="D17" s="8">
        <v>127.67441860465117</v>
      </c>
      <c r="E17" s="8">
        <v>400</v>
      </c>
      <c r="F17" s="8">
        <v>642.2018348623853</v>
      </c>
      <c r="G17" s="8">
        <v>3200</v>
      </c>
      <c r="H17" s="8">
        <v>4295.961227786753</v>
      </c>
      <c r="I17" s="8">
        <v>210</v>
      </c>
      <c r="J17" s="8">
        <v>258.46153846153845</v>
      </c>
      <c r="K17" s="8"/>
      <c r="L17" s="8"/>
      <c r="M17" s="8"/>
      <c r="N17" s="8"/>
      <c r="O17" s="8">
        <v>145</v>
      </c>
      <c r="P17" s="8">
        <v>93.21428571428572</v>
      </c>
      <c r="Q17" s="8">
        <v>150</v>
      </c>
      <c r="R17" s="8">
        <v>251.40845070422534</v>
      </c>
      <c r="S17" s="8">
        <v>70</v>
      </c>
      <c r="T17" s="8">
        <v>643.3333333333333</v>
      </c>
      <c r="U17" s="8">
        <v>15</v>
      </c>
      <c r="V17" s="8">
        <v>210</v>
      </c>
      <c r="W17" s="8">
        <v>870</v>
      </c>
      <c r="X17" s="8">
        <v>4815.477707006369</v>
      </c>
    </row>
    <row r="18" spans="2:24" ht="15">
      <c r="B18" s="6" t="s">
        <v>27</v>
      </c>
      <c r="C18" s="8">
        <v>100</v>
      </c>
      <c r="D18" s="8">
        <v>140.17441860465118</v>
      </c>
      <c r="E18" s="8">
        <v>410</v>
      </c>
      <c r="F18" s="8">
        <v>657.2018348623853</v>
      </c>
      <c r="G18" s="8">
        <v>3210</v>
      </c>
      <c r="H18" s="8">
        <v>4315.961227786753</v>
      </c>
      <c r="I18" s="8">
        <v>215</v>
      </c>
      <c r="J18" s="8">
        <v>264.6043956043956</v>
      </c>
      <c r="K18" s="8"/>
      <c r="L18" s="8"/>
      <c r="M18" s="8">
        <v>0</v>
      </c>
      <c r="N18" s="8">
        <v>0</v>
      </c>
      <c r="O18" s="8">
        <v>150</v>
      </c>
      <c r="P18" s="8">
        <v>93.21428571428572</v>
      </c>
      <c r="Q18" s="8">
        <v>150</v>
      </c>
      <c r="R18" s="8">
        <v>251.40845070422534</v>
      </c>
      <c r="S18" s="8">
        <v>70</v>
      </c>
      <c r="T18" s="8">
        <v>643.3333333333333</v>
      </c>
      <c r="U18" s="8">
        <v>15</v>
      </c>
      <c r="V18" s="8">
        <v>210</v>
      </c>
      <c r="W18" s="8">
        <v>960</v>
      </c>
      <c r="X18" s="8">
        <v>5015.140044668707</v>
      </c>
    </row>
    <row r="19" spans="2:24" ht="15">
      <c r="B19" s="6" t="s">
        <v>28</v>
      </c>
      <c r="C19" s="8">
        <v>260</v>
      </c>
      <c r="D19" s="8">
        <v>226.25954198473283</v>
      </c>
      <c r="E19" s="8">
        <v>20</v>
      </c>
      <c r="F19" s="8">
        <v>28</v>
      </c>
      <c r="G19" s="8">
        <v>120</v>
      </c>
      <c r="H19" s="8">
        <v>103.88059701492537</v>
      </c>
      <c r="I19" s="8">
        <v>35</v>
      </c>
      <c r="J19" s="8">
        <v>23.333333333333332</v>
      </c>
      <c r="K19" s="8"/>
      <c r="L19" s="8"/>
      <c r="M19" s="8">
        <v>15</v>
      </c>
      <c r="N19" s="8">
        <v>12</v>
      </c>
      <c r="O19" s="8">
        <v>500</v>
      </c>
      <c r="P19" s="8">
        <v>238.7820512820513</v>
      </c>
      <c r="Q19" s="8">
        <v>175</v>
      </c>
      <c r="R19" s="8">
        <v>208.65384615384616</v>
      </c>
      <c r="S19" s="8">
        <v>2040</v>
      </c>
      <c r="T19" s="8">
        <v>32127.213114754057</v>
      </c>
      <c r="U19" s="8">
        <v>55</v>
      </c>
      <c r="V19" s="8">
        <v>480.52631578947364</v>
      </c>
      <c r="W19" s="8">
        <v>115</v>
      </c>
      <c r="X19" s="8">
        <v>183.0281690140845</v>
      </c>
    </row>
    <row r="20" spans="2:24" ht="15">
      <c r="B20" s="6" t="s">
        <v>29</v>
      </c>
      <c r="C20" s="8">
        <v>10</v>
      </c>
      <c r="D20" s="8">
        <v>8.69230769230769</v>
      </c>
      <c r="E20" s="8">
        <v>15</v>
      </c>
      <c r="F20" s="8">
        <v>15</v>
      </c>
      <c r="G20" s="8">
        <v>130</v>
      </c>
      <c r="H20" s="8">
        <v>135.41666666666669</v>
      </c>
      <c r="I20" s="8">
        <v>75</v>
      </c>
      <c r="J20" s="8">
        <v>93.75</v>
      </c>
      <c r="K20" s="8"/>
      <c r="L20" s="8"/>
      <c r="M20" s="8">
        <v>50</v>
      </c>
      <c r="N20" s="8">
        <v>50</v>
      </c>
      <c r="O20" s="8">
        <v>5</v>
      </c>
      <c r="P20" s="8">
        <v>0</v>
      </c>
      <c r="Q20" s="8">
        <v>110</v>
      </c>
      <c r="R20" s="8">
        <v>121.00000000000001</v>
      </c>
      <c r="S20" s="8">
        <v>175</v>
      </c>
      <c r="T20" s="8">
        <v>751.0416666666667</v>
      </c>
      <c r="U20" s="8">
        <v>10</v>
      </c>
      <c r="V20" s="8">
        <v>76.66666666666667</v>
      </c>
      <c r="W20" s="8">
        <v>85</v>
      </c>
      <c r="X20" s="8">
        <v>192.17391304347825</v>
      </c>
    </row>
    <row r="21" spans="2:24" ht="15">
      <c r="B21" s="6" t="s">
        <v>31</v>
      </c>
      <c r="C21" s="8"/>
      <c r="D21" s="8"/>
      <c r="E21" s="8">
        <v>15</v>
      </c>
      <c r="F21" s="8">
        <v>39</v>
      </c>
      <c r="G21" s="8">
        <v>85</v>
      </c>
      <c r="H21" s="8">
        <v>73.66666666666667</v>
      </c>
      <c r="I21" s="8">
        <v>65</v>
      </c>
      <c r="J21" s="8">
        <v>53.18181818181819</v>
      </c>
      <c r="K21" s="8"/>
      <c r="L21" s="8"/>
      <c r="M21" s="8">
        <v>2</v>
      </c>
      <c r="N21" s="8">
        <v>1.3333333333333333</v>
      </c>
      <c r="O21" s="8"/>
      <c r="P21" s="8">
        <v>0</v>
      </c>
      <c r="Q21" s="8">
        <v>85</v>
      </c>
      <c r="R21" s="8">
        <v>91.71052631578948</v>
      </c>
      <c r="S21" s="8">
        <v>70</v>
      </c>
      <c r="T21" s="8">
        <v>1062.4929178470254</v>
      </c>
      <c r="U21" s="8">
        <v>15</v>
      </c>
      <c r="V21" s="8">
        <v>158.75</v>
      </c>
      <c r="W21" s="8">
        <v>140</v>
      </c>
      <c r="X21" s="8">
        <v>832.3636363636364</v>
      </c>
    </row>
    <row r="22" spans="2:24" ht="15">
      <c r="B22" s="6" t="s">
        <v>32</v>
      </c>
      <c r="C22" s="8">
        <v>5</v>
      </c>
      <c r="D22" s="8">
        <v>4.5</v>
      </c>
      <c r="E22" s="8">
        <v>50</v>
      </c>
      <c r="F22" s="8">
        <v>100</v>
      </c>
      <c r="G22" s="8">
        <v>60</v>
      </c>
      <c r="H22" s="8">
        <v>59.35483870967742</v>
      </c>
      <c r="I22" s="8">
        <v>110</v>
      </c>
      <c r="J22" s="8">
        <v>82.5</v>
      </c>
      <c r="K22" s="8"/>
      <c r="L22" s="8"/>
      <c r="M22" s="8">
        <v>25</v>
      </c>
      <c r="N22" s="8">
        <v>25</v>
      </c>
      <c r="O22" s="8">
        <v>35</v>
      </c>
      <c r="P22" s="8">
        <v>20.931372549019592</v>
      </c>
      <c r="Q22" s="8">
        <v>640</v>
      </c>
      <c r="R22" s="8">
        <v>1268.4684684684685</v>
      </c>
      <c r="S22" s="8">
        <v>560</v>
      </c>
      <c r="T22" s="8">
        <v>6946.153846153846</v>
      </c>
      <c r="U22" s="8">
        <v>65</v>
      </c>
      <c r="V22" s="8">
        <v>1170</v>
      </c>
      <c r="W22" s="8">
        <v>175</v>
      </c>
      <c r="X22" s="8">
        <v>291.6666666666667</v>
      </c>
    </row>
    <row r="23" spans="2:24" ht="15">
      <c r="B23" s="6" t="s">
        <v>33</v>
      </c>
      <c r="C23" s="8">
        <v>10</v>
      </c>
      <c r="D23" s="8">
        <v>9</v>
      </c>
      <c r="E23" s="8">
        <v>85</v>
      </c>
      <c r="F23" s="8">
        <v>221</v>
      </c>
      <c r="G23" s="8">
        <v>165</v>
      </c>
      <c r="H23" s="8">
        <v>163.35</v>
      </c>
      <c r="I23" s="8">
        <v>205</v>
      </c>
      <c r="J23" s="8">
        <v>153.75</v>
      </c>
      <c r="K23" s="8"/>
      <c r="L23" s="8"/>
      <c r="M23" s="8">
        <v>50</v>
      </c>
      <c r="N23" s="8">
        <v>50</v>
      </c>
      <c r="O23" s="8">
        <v>25</v>
      </c>
      <c r="P23" s="8">
        <v>14.95098039215685</v>
      </c>
      <c r="Q23" s="8">
        <v>800</v>
      </c>
      <c r="R23" s="8">
        <v>1600</v>
      </c>
      <c r="S23" s="8">
        <v>430</v>
      </c>
      <c r="T23" s="8">
        <v>5309.183673469387</v>
      </c>
      <c r="U23" s="8">
        <v>65</v>
      </c>
      <c r="V23" s="8">
        <v>1170</v>
      </c>
      <c r="W23" s="8">
        <v>175</v>
      </c>
      <c r="X23" s="8">
        <v>320.8333333333333</v>
      </c>
    </row>
    <row r="24" spans="2:24" ht="15">
      <c r="B24" s="6" t="s">
        <v>35</v>
      </c>
      <c r="C24" s="8">
        <v>285</v>
      </c>
      <c r="D24" s="8">
        <v>248.4518496770405</v>
      </c>
      <c r="E24" s="8">
        <v>185</v>
      </c>
      <c r="F24" s="8">
        <v>403</v>
      </c>
      <c r="G24" s="8">
        <v>560</v>
      </c>
      <c r="H24" s="8">
        <v>535.6687690579362</v>
      </c>
      <c r="I24" s="8">
        <v>490</v>
      </c>
      <c r="J24" s="8">
        <v>406.5151515151515</v>
      </c>
      <c r="K24" s="8"/>
      <c r="L24" s="8"/>
      <c r="M24" s="8">
        <v>142</v>
      </c>
      <c r="N24" s="8">
        <v>138.33333333333334</v>
      </c>
      <c r="O24" s="8">
        <v>565</v>
      </c>
      <c r="P24" s="8">
        <v>274.66440422322773</v>
      </c>
      <c r="Q24" s="8">
        <v>1810</v>
      </c>
      <c r="R24" s="8">
        <v>3289.8328409381043</v>
      </c>
      <c r="S24" s="8">
        <v>3275</v>
      </c>
      <c r="T24" s="8">
        <v>46196.08521889098</v>
      </c>
      <c r="U24" s="8">
        <v>210</v>
      </c>
      <c r="V24" s="8">
        <v>3055.9429824561403</v>
      </c>
      <c r="W24" s="8">
        <v>690</v>
      </c>
      <c r="X24" s="8">
        <v>1820.065718421199</v>
      </c>
    </row>
    <row r="25" spans="2:24" ht="15">
      <c r="B25" s="6" t="s">
        <v>36</v>
      </c>
      <c r="C25" s="8">
        <v>15</v>
      </c>
      <c r="D25" s="8">
        <v>4.615384615384616</v>
      </c>
      <c r="E25" s="8">
        <v>550</v>
      </c>
      <c r="F25" s="8">
        <v>649.468085106383</v>
      </c>
      <c r="G25" s="8">
        <v>65</v>
      </c>
      <c r="H25" s="8">
        <v>32.5</v>
      </c>
      <c r="I25" s="8">
        <v>125</v>
      </c>
      <c r="J25" s="8">
        <v>62.5</v>
      </c>
      <c r="K25" s="8"/>
      <c r="L25" s="8"/>
      <c r="M25" s="8">
        <v>65</v>
      </c>
      <c r="N25" s="8">
        <v>29.545454545454543</v>
      </c>
      <c r="O25" s="8">
        <v>25</v>
      </c>
      <c r="P25" s="8">
        <v>8.333333333333332</v>
      </c>
      <c r="Q25" s="8">
        <v>110</v>
      </c>
      <c r="R25" s="8">
        <v>114.23076923076924</v>
      </c>
      <c r="S25" s="8">
        <v>90</v>
      </c>
      <c r="T25" s="8">
        <v>726.1016949152543</v>
      </c>
      <c r="U25" s="8">
        <v>30</v>
      </c>
      <c r="V25" s="8">
        <v>540</v>
      </c>
      <c r="W25" s="8">
        <v>200</v>
      </c>
      <c r="X25" s="8">
        <v>418.1818181818182</v>
      </c>
    </row>
    <row r="26" spans="2:24" ht="15">
      <c r="B26" s="6" t="s">
        <v>37</v>
      </c>
      <c r="C26" s="8">
        <v>95</v>
      </c>
      <c r="D26" s="8">
        <v>120.9090909090909</v>
      </c>
      <c r="E26" s="8">
        <v>2310</v>
      </c>
      <c r="F26" s="8">
        <v>7147.745901639345</v>
      </c>
      <c r="G26" s="8">
        <v>325</v>
      </c>
      <c r="H26" s="8">
        <v>375.6880733944954</v>
      </c>
      <c r="I26" s="8">
        <v>3065</v>
      </c>
      <c r="J26" s="8">
        <v>4183.107177974435</v>
      </c>
      <c r="K26" s="8"/>
      <c r="L26" s="8"/>
      <c r="M26" s="8">
        <v>50</v>
      </c>
      <c r="N26" s="8">
        <v>44.56521739130435</v>
      </c>
      <c r="O26" s="8">
        <v>3</v>
      </c>
      <c r="P26" s="8">
        <v>2.4000000000000004</v>
      </c>
      <c r="Q26" s="8">
        <v>110</v>
      </c>
      <c r="R26" s="8">
        <v>220</v>
      </c>
      <c r="S26" s="8">
        <v>15</v>
      </c>
      <c r="T26" s="8">
        <v>108.75</v>
      </c>
      <c r="U26" s="8"/>
      <c r="V26" s="8"/>
      <c r="W26" s="8">
        <v>115</v>
      </c>
      <c r="X26" s="8">
        <v>301.70588235294116</v>
      </c>
    </row>
    <row r="27" spans="2:24" ht="15">
      <c r="B27" s="6" t="s">
        <v>38</v>
      </c>
      <c r="C27" s="8">
        <v>32</v>
      </c>
      <c r="D27" s="8">
        <v>38.2105263157896</v>
      </c>
      <c r="E27" s="8">
        <v>540</v>
      </c>
      <c r="F27" s="8">
        <v>780.5454545454546</v>
      </c>
      <c r="G27" s="8">
        <v>165</v>
      </c>
      <c r="H27" s="8">
        <v>153.21428571428572</v>
      </c>
      <c r="I27" s="8">
        <v>145</v>
      </c>
      <c r="J27" s="8">
        <v>145</v>
      </c>
      <c r="K27" s="8"/>
      <c r="L27" s="8"/>
      <c r="M27" s="8">
        <v>210</v>
      </c>
      <c r="N27" s="8">
        <v>187.17391304347828</v>
      </c>
      <c r="O27" s="8">
        <v>50</v>
      </c>
      <c r="P27" s="8">
        <v>0</v>
      </c>
      <c r="Q27" s="8">
        <v>200</v>
      </c>
      <c r="R27" s="8">
        <v>238.88888888888889</v>
      </c>
      <c r="S27" s="8">
        <v>155</v>
      </c>
      <c r="T27" s="8">
        <v>1524.1666666666667</v>
      </c>
      <c r="U27" s="8">
        <v>55</v>
      </c>
      <c r="V27" s="8">
        <v>990</v>
      </c>
      <c r="W27" s="8">
        <v>140</v>
      </c>
      <c r="X27" s="8">
        <v>181.75438596491227</v>
      </c>
    </row>
    <row r="28" spans="2:24" ht="15">
      <c r="B28" s="6" t="s">
        <v>39</v>
      </c>
      <c r="C28" s="8">
        <v>142</v>
      </c>
      <c r="D28" s="8">
        <v>163.7350018402651</v>
      </c>
      <c r="E28" s="8">
        <v>3400</v>
      </c>
      <c r="F28" s="8">
        <v>8577.759441291182</v>
      </c>
      <c r="G28" s="8">
        <v>555</v>
      </c>
      <c r="H28" s="8">
        <v>561.4023591087812</v>
      </c>
      <c r="I28" s="8">
        <v>3335</v>
      </c>
      <c r="J28" s="8">
        <v>4390.607177974435</v>
      </c>
      <c r="K28" s="8">
        <v>0</v>
      </c>
      <c r="L28" s="8">
        <v>0</v>
      </c>
      <c r="M28" s="8">
        <v>325</v>
      </c>
      <c r="N28" s="8">
        <v>261.2845849802372</v>
      </c>
      <c r="O28" s="8">
        <v>78</v>
      </c>
      <c r="P28" s="8">
        <v>10.733333333333333</v>
      </c>
      <c r="Q28" s="8">
        <v>420</v>
      </c>
      <c r="R28" s="8">
        <v>573.1196581196581</v>
      </c>
      <c r="S28" s="8">
        <v>260</v>
      </c>
      <c r="T28" s="8">
        <v>2359.018361581921</v>
      </c>
      <c r="U28" s="8">
        <v>85</v>
      </c>
      <c r="V28" s="8">
        <v>1530</v>
      </c>
      <c r="W28" s="8">
        <v>455</v>
      </c>
      <c r="X28" s="8">
        <v>901.6420864996717</v>
      </c>
    </row>
    <row r="29" spans="2:24" ht="15">
      <c r="B29" s="6" t="s">
        <v>40</v>
      </c>
      <c r="C29" s="8">
        <v>470</v>
      </c>
      <c r="D29" s="8">
        <v>282.6573426573426</v>
      </c>
      <c r="E29" s="8">
        <v>800</v>
      </c>
      <c r="F29" s="8">
        <v>767.3469387755101</v>
      </c>
      <c r="G29" s="8">
        <v>1100</v>
      </c>
      <c r="H29" s="8">
        <v>462.9496402877698</v>
      </c>
      <c r="I29" s="8">
        <v>870</v>
      </c>
      <c r="J29" s="8">
        <v>608.4313725490196</v>
      </c>
      <c r="K29" s="8">
        <v>30</v>
      </c>
      <c r="L29" s="8">
        <v>55.38461538461539</v>
      </c>
      <c r="M29" s="8">
        <v>205</v>
      </c>
      <c r="N29" s="8">
        <v>115.00000000000001</v>
      </c>
      <c r="O29" s="8">
        <v>400</v>
      </c>
      <c r="P29" s="8">
        <v>104.15094339622641</v>
      </c>
      <c r="Q29" s="8">
        <v>1010</v>
      </c>
      <c r="R29" s="8">
        <v>1413.6757624398074</v>
      </c>
      <c r="S29" s="8">
        <v>145</v>
      </c>
      <c r="T29" s="8">
        <v>670.0757575757575</v>
      </c>
      <c r="U29" s="8">
        <v>135</v>
      </c>
      <c r="V29" s="8">
        <v>810</v>
      </c>
      <c r="W29" s="8">
        <v>575</v>
      </c>
      <c r="X29" s="8">
        <v>919.2827442827443</v>
      </c>
    </row>
    <row r="30" spans="2:24" ht="15">
      <c r="B30" s="6" t="s">
        <v>41</v>
      </c>
      <c r="C30" s="8">
        <v>30</v>
      </c>
      <c r="D30" s="8">
        <v>52.35294117647059</v>
      </c>
      <c r="E30" s="8">
        <v>85</v>
      </c>
      <c r="F30" s="8">
        <v>246.28205128205127</v>
      </c>
      <c r="G30" s="8">
        <v>110</v>
      </c>
      <c r="H30" s="8">
        <v>131.84397163120568</v>
      </c>
      <c r="I30" s="8">
        <v>155</v>
      </c>
      <c r="J30" s="8">
        <v>176.96850393700788</v>
      </c>
      <c r="K30" s="8"/>
      <c r="L30" s="8"/>
      <c r="M30" s="8">
        <v>20</v>
      </c>
      <c r="N30" s="8">
        <v>22.857142857142854</v>
      </c>
      <c r="O30" s="8">
        <v>250</v>
      </c>
      <c r="P30" s="8">
        <v>185.64356435643563</v>
      </c>
      <c r="Q30" s="8">
        <v>265</v>
      </c>
      <c r="R30" s="8">
        <v>361.56779661016947</v>
      </c>
      <c r="S30" s="8">
        <v>1015</v>
      </c>
      <c r="T30" s="8">
        <v>12161.403085824493</v>
      </c>
      <c r="U30" s="8">
        <v>10</v>
      </c>
      <c r="V30" s="8">
        <v>154.28571428571428</v>
      </c>
      <c r="W30" s="8">
        <v>800</v>
      </c>
      <c r="X30" s="8">
        <v>4570.309951060359</v>
      </c>
    </row>
    <row r="31" spans="2:24" ht="15">
      <c r="B31" s="6" t="s">
        <v>42</v>
      </c>
      <c r="C31" s="8">
        <v>500</v>
      </c>
      <c r="D31" s="8">
        <v>335.0102838338132</v>
      </c>
      <c r="E31" s="8">
        <v>885</v>
      </c>
      <c r="F31" s="8">
        <v>1013.6289900575614</v>
      </c>
      <c r="G31" s="8">
        <v>1210</v>
      </c>
      <c r="H31" s="8">
        <v>594.7936119189754</v>
      </c>
      <c r="I31" s="8">
        <v>1025</v>
      </c>
      <c r="J31" s="8">
        <v>785.3998764860274</v>
      </c>
      <c r="K31" s="8">
        <v>30</v>
      </c>
      <c r="L31" s="8">
        <v>55.38461538461539</v>
      </c>
      <c r="M31" s="8">
        <v>225</v>
      </c>
      <c r="N31" s="8">
        <v>137.85714285714286</v>
      </c>
      <c r="O31" s="8">
        <v>650</v>
      </c>
      <c r="P31" s="8">
        <v>289.79450775266207</v>
      </c>
      <c r="Q31" s="8">
        <v>1275</v>
      </c>
      <c r="R31" s="8">
        <v>1775.2435590499767</v>
      </c>
      <c r="S31" s="8">
        <v>1160</v>
      </c>
      <c r="T31" s="8">
        <v>12831.478843400251</v>
      </c>
      <c r="U31" s="8">
        <v>145</v>
      </c>
      <c r="V31" s="8">
        <v>964.2857142857142</v>
      </c>
      <c r="W31" s="8">
        <v>1375</v>
      </c>
      <c r="X31" s="8">
        <v>5489.592695343103</v>
      </c>
    </row>
    <row r="32" spans="2:24" ht="15">
      <c r="B32" s="6" t="s">
        <v>43</v>
      </c>
      <c r="C32" s="8">
        <v>210</v>
      </c>
      <c r="D32" s="8">
        <v>194.25</v>
      </c>
      <c r="E32" s="8">
        <v>2310</v>
      </c>
      <c r="F32" s="8">
        <v>7104.860557768924</v>
      </c>
      <c r="G32" s="8">
        <v>275</v>
      </c>
      <c r="H32" s="8">
        <v>248.80952380952382</v>
      </c>
      <c r="I32" s="8">
        <v>355</v>
      </c>
      <c r="J32" s="8">
        <v>401.88679245283015</v>
      </c>
      <c r="K32" s="8">
        <v>3600</v>
      </c>
      <c r="L32" s="8">
        <v>6530.578512396694</v>
      </c>
      <c r="M32" s="8">
        <v>510</v>
      </c>
      <c r="N32" s="8">
        <v>654.5</v>
      </c>
      <c r="O32" s="8">
        <v>12500</v>
      </c>
      <c r="P32" s="8">
        <v>12757.69345682701</v>
      </c>
      <c r="Q32" s="8">
        <v>320</v>
      </c>
      <c r="R32" s="8">
        <v>432.9411764705883</v>
      </c>
      <c r="S32" s="8">
        <v>75</v>
      </c>
      <c r="T32" s="8">
        <v>678.75</v>
      </c>
      <c r="U32" s="8">
        <v>1670</v>
      </c>
      <c r="V32" s="8">
        <v>26718.60484544695</v>
      </c>
      <c r="W32" s="8">
        <v>1145</v>
      </c>
      <c r="X32" s="8">
        <v>5410.839002267574</v>
      </c>
    </row>
    <row r="33" spans="2:24" ht="15">
      <c r="B33" s="6" t="s">
        <v>44</v>
      </c>
      <c r="C33" s="8">
        <v>25</v>
      </c>
      <c r="D33" s="8">
        <v>27.27272727272727</v>
      </c>
      <c r="E33" s="8">
        <v>600</v>
      </c>
      <c r="F33" s="8">
        <v>1924.8803827751196</v>
      </c>
      <c r="G33" s="8">
        <v>100</v>
      </c>
      <c r="H33" s="8">
        <v>138.88888888888889</v>
      </c>
      <c r="I33" s="8">
        <v>105</v>
      </c>
      <c r="J33" s="8">
        <v>141.94444444444446</v>
      </c>
      <c r="K33" s="8"/>
      <c r="L33" s="8"/>
      <c r="M33" s="8">
        <v>20</v>
      </c>
      <c r="N33" s="8">
        <v>40</v>
      </c>
      <c r="O33" s="8">
        <v>15</v>
      </c>
      <c r="P33" s="8">
        <v>11.785714285714285</v>
      </c>
      <c r="Q33" s="8">
        <v>160</v>
      </c>
      <c r="R33" s="8">
        <v>285.2830188679245</v>
      </c>
      <c r="S33" s="8">
        <v>10</v>
      </c>
      <c r="T33" s="8">
        <v>122</v>
      </c>
      <c r="U33" s="8">
        <v>85</v>
      </c>
      <c r="V33" s="8">
        <v>1021.7708333333334</v>
      </c>
      <c r="W33" s="8">
        <v>55</v>
      </c>
      <c r="X33" s="8">
        <v>303.9102564102564</v>
      </c>
    </row>
    <row r="34" spans="2:24" ht="15">
      <c r="B34" s="6" t="s">
        <v>45</v>
      </c>
      <c r="C34" s="8">
        <v>235</v>
      </c>
      <c r="D34" s="8">
        <v>221.52272727272728</v>
      </c>
      <c r="E34" s="8">
        <v>2910</v>
      </c>
      <c r="F34" s="8">
        <v>9029.740940544043</v>
      </c>
      <c r="G34" s="8">
        <v>375</v>
      </c>
      <c r="H34" s="8">
        <v>387.6984126984127</v>
      </c>
      <c r="I34" s="8">
        <v>460</v>
      </c>
      <c r="J34" s="8">
        <v>543.8312368972746</v>
      </c>
      <c r="K34" s="8">
        <v>3600</v>
      </c>
      <c r="L34" s="8">
        <v>6530.578512396694</v>
      </c>
      <c r="M34" s="8">
        <v>530</v>
      </c>
      <c r="N34" s="8">
        <v>694.5</v>
      </c>
      <c r="O34" s="8">
        <v>12515</v>
      </c>
      <c r="P34" s="8">
        <v>12769.479171112724</v>
      </c>
      <c r="Q34" s="8">
        <v>480</v>
      </c>
      <c r="R34" s="8">
        <v>718.2241953385128</v>
      </c>
      <c r="S34" s="8">
        <v>85</v>
      </c>
      <c r="T34" s="8">
        <v>800.75</v>
      </c>
      <c r="U34" s="8">
        <v>1755</v>
      </c>
      <c r="V34" s="8">
        <v>27740.37567878028</v>
      </c>
      <c r="W34" s="8">
        <v>1200</v>
      </c>
      <c r="X34" s="8">
        <v>5714.749258677831</v>
      </c>
    </row>
    <row r="35" spans="2:24" ht="15">
      <c r="B35" s="6" t="s">
        <v>46</v>
      </c>
      <c r="C35" s="8">
        <v>145</v>
      </c>
      <c r="D35" s="8">
        <v>198.55855855855856</v>
      </c>
      <c r="E35" s="8">
        <v>4040</v>
      </c>
      <c r="F35" s="8">
        <v>21886.556152229747</v>
      </c>
      <c r="G35" s="8">
        <v>225</v>
      </c>
      <c r="H35" s="8">
        <v>203.57142857142858</v>
      </c>
      <c r="I35" s="8">
        <v>145</v>
      </c>
      <c r="J35" s="8">
        <v>136.61157024793388</v>
      </c>
      <c r="K35" s="8">
        <v>20</v>
      </c>
      <c r="L35" s="8">
        <v>33.333333333333336</v>
      </c>
      <c r="M35" s="8"/>
      <c r="N35" s="8"/>
      <c r="O35" s="8">
        <v>500</v>
      </c>
      <c r="P35" s="8">
        <v>376.45107794361525</v>
      </c>
      <c r="Q35" s="8">
        <v>25</v>
      </c>
      <c r="R35" s="8">
        <v>40.54054054054054</v>
      </c>
      <c r="S35" s="8">
        <v>95</v>
      </c>
      <c r="T35" s="8">
        <v>879.7260273972603</v>
      </c>
      <c r="U35" s="8"/>
      <c r="V35" s="8"/>
      <c r="W35" s="8">
        <v>330</v>
      </c>
      <c r="X35" s="8">
        <v>809.16</v>
      </c>
    </row>
    <row r="36" spans="2:24" ht="15">
      <c r="B36" s="6" t="s">
        <v>47</v>
      </c>
      <c r="C36" s="8">
        <v>115</v>
      </c>
      <c r="D36" s="8">
        <v>166.11111111111111</v>
      </c>
      <c r="E36" s="8">
        <v>1560</v>
      </c>
      <c r="F36" s="8">
        <v>4287.370786516854</v>
      </c>
      <c r="G36" s="8">
        <v>450</v>
      </c>
      <c r="H36" s="8">
        <v>535.4014598540145</v>
      </c>
      <c r="I36" s="8">
        <v>765</v>
      </c>
      <c r="J36" s="8">
        <v>839.4827586206897</v>
      </c>
      <c r="K36" s="8"/>
      <c r="L36" s="8"/>
      <c r="M36" s="8">
        <v>15</v>
      </c>
      <c r="N36" s="8">
        <v>15</v>
      </c>
      <c r="O36" s="8">
        <v>1200</v>
      </c>
      <c r="P36" s="8">
        <v>952.5773195876288</v>
      </c>
      <c r="Q36" s="8">
        <v>880</v>
      </c>
      <c r="R36" s="8">
        <v>1408</v>
      </c>
      <c r="S36" s="8">
        <v>185</v>
      </c>
      <c r="T36" s="8">
        <v>1830.8620689655172</v>
      </c>
      <c r="U36" s="8">
        <v>20</v>
      </c>
      <c r="V36" s="8">
        <v>248</v>
      </c>
      <c r="W36" s="8">
        <v>400</v>
      </c>
      <c r="X36" s="8">
        <v>3874.1573033707864</v>
      </c>
    </row>
    <row r="37" spans="2:24" ht="15">
      <c r="B37" s="6" t="s">
        <v>48</v>
      </c>
      <c r="C37" s="8">
        <v>260</v>
      </c>
      <c r="D37" s="8">
        <v>364.6696696696697</v>
      </c>
      <c r="E37" s="8">
        <v>5600</v>
      </c>
      <c r="F37" s="8">
        <v>26173.9269387466</v>
      </c>
      <c r="G37" s="8">
        <v>675</v>
      </c>
      <c r="H37" s="8">
        <v>738.9728884254431</v>
      </c>
      <c r="I37" s="8">
        <v>910</v>
      </c>
      <c r="J37" s="8">
        <v>976.0943288686235</v>
      </c>
      <c r="K37" s="8">
        <v>20</v>
      </c>
      <c r="L37" s="8"/>
      <c r="M37" s="8">
        <v>15</v>
      </c>
      <c r="N37" s="8">
        <v>15</v>
      </c>
      <c r="O37" s="8">
        <v>1700</v>
      </c>
      <c r="P37" s="8">
        <v>1329.028397531244</v>
      </c>
      <c r="Q37" s="8">
        <v>905</v>
      </c>
      <c r="R37" s="8">
        <v>1448.5405405405406</v>
      </c>
      <c r="S37" s="8">
        <v>280</v>
      </c>
      <c r="T37" s="8">
        <v>2710.5880963627774</v>
      </c>
      <c r="U37" s="8">
        <v>20</v>
      </c>
      <c r="V37" s="8">
        <v>248</v>
      </c>
      <c r="W37" s="8">
        <v>730</v>
      </c>
      <c r="X37" s="8">
        <v>4683.317303370786</v>
      </c>
    </row>
    <row r="38" spans="2:24" ht="15">
      <c r="B38" s="6" t="s">
        <v>49</v>
      </c>
      <c r="C38" s="8">
        <v>210</v>
      </c>
      <c r="D38" s="8">
        <v>184.1304347826087</v>
      </c>
      <c r="E38" s="8">
        <v>290</v>
      </c>
      <c r="F38" s="8">
        <v>285.24590163934425</v>
      </c>
      <c r="G38" s="8">
        <v>225</v>
      </c>
      <c r="H38" s="8">
        <v>221.83098591549296</v>
      </c>
      <c r="I38" s="8">
        <v>190</v>
      </c>
      <c r="J38" s="8">
        <v>243.9189189189189</v>
      </c>
      <c r="K38" s="8"/>
      <c r="L38" s="8"/>
      <c r="M38" s="8"/>
      <c r="N38" s="8"/>
      <c r="O38" s="8">
        <v>180</v>
      </c>
      <c r="P38" s="8">
        <v>114.19354838709677</v>
      </c>
      <c r="Q38" s="8">
        <v>320</v>
      </c>
      <c r="R38" s="8">
        <v>368.39506172839504</v>
      </c>
      <c r="S38" s="8">
        <v>60</v>
      </c>
      <c r="T38" s="8">
        <v>423</v>
      </c>
      <c r="U38" s="8"/>
      <c r="V38" s="8"/>
      <c r="W38" s="8">
        <v>310</v>
      </c>
      <c r="X38" s="8">
        <v>940.6896551724137</v>
      </c>
    </row>
    <row r="39" spans="2:24" ht="15">
      <c r="B39" s="6" t="s">
        <v>50</v>
      </c>
      <c r="C39" s="8"/>
      <c r="D39" s="8"/>
      <c r="E39" s="8">
        <v>60</v>
      </c>
      <c r="F39" s="8">
        <v>118.37837837837839</v>
      </c>
      <c r="G39" s="8">
        <v>20</v>
      </c>
      <c r="H39" s="8">
        <v>28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0</v>
      </c>
      <c r="U39" s="8"/>
      <c r="V39" s="8"/>
      <c r="W39" s="8">
        <v>115</v>
      </c>
      <c r="X39" s="8">
        <v>198.63636363636363</v>
      </c>
    </row>
    <row r="40" spans="2:24" ht="15">
      <c r="B40" s="6" t="s">
        <v>51</v>
      </c>
      <c r="C40" s="8">
        <v>210</v>
      </c>
      <c r="D40" s="8">
        <v>184.1304347826087</v>
      </c>
      <c r="E40" s="8">
        <v>350</v>
      </c>
      <c r="F40" s="8">
        <v>403.62428001772264</v>
      </c>
      <c r="G40" s="8">
        <v>245</v>
      </c>
      <c r="H40" s="8">
        <v>249.83098591549296</v>
      </c>
      <c r="I40" s="8">
        <v>190</v>
      </c>
      <c r="J40" s="8">
        <v>243.9189189189189</v>
      </c>
      <c r="K40" s="8">
        <v>0</v>
      </c>
      <c r="L40" s="8">
        <v>0</v>
      </c>
      <c r="M40" s="8">
        <v>0</v>
      </c>
      <c r="N40" s="8">
        <v>0</v>
      </c>
      <c r="O40" s="8">
        <v>180</v>
      </c>
      <c r="P40" s="8">
        <v>114.19354838709677</v>
      </c>
      <c r="Q40" s="8">
        <v>320</v>
      </c>
      <c r="R40" s="8">
        <v>368.39506172839504</v>
      </c>
      <c r="S40" s="8">
        <v>60</v>
      </c>
      <c r="T40" s="8">
        <v>423</v>
      </c>
      <c r="U40" s="8">
        <v>0</v>
      </c>
      <c r="V40" s="8">
        <v>0</v>
      </c>
      <c r="W40" s="8">
        <v>425</v>
      </c>
      <c r="X40" s="8">
        <v>1139.3260188087775</v>
      </c>
    </row>
    <row r="41" spans="2:24" ht="15">
      <c r="B41" s="6" t="s">
        <v>59</v>
      </c>
      <c r="C41" s="8">
        <v>75</v>
      </c>
      <c r="D41" s="8">
        <v>73.21428571428571</v>
      </c>
      <c r="E41" s="8">
        <v>1900</v>
      </c>
      <c r="F41" s="8">
        <v>5164.599686028258</v>
      </c>
      <c r="G41" s="8">
        <v>230</v>
      </c>
      <c r="H41" s="8">
        <v>681.9095477386935</v>
      </c>
      <c r="I41" s="8">
        <v>385</v>
      </c>
      <c r="J41" s="8">
        <v>476.40287769784175</v>
      </c>
      <c r="K41" s="8">
        <v>2750</v>
      </c>
      <c r="L41" s="8">
        <v>4416.089965397924</v>
      </c>
      <c r="M41" s="8">
        <v>300</v>
      </c>
      <c r="N41" s="8">
        <v>295.7264957264957</v>
      </c>
      <c r="O41" s="8">
        <v>110</v>
      </c>
      <c r="P41" s="8">
        <v>109.12698412698413</v>
      </c>
      <c r="Q41" s="8">
        <v>50</v>
      </c>
      <c r="R41" s="8">
        <v>67.94871794871796</v>
      </c>
      <c r="S41" s="8">
        <v>10</v>
      </c>
      <c r="T41" s="8">
        <v>87.14285714285714</v>
      </c>
      <c r="U41" s="8">
        <v>680</v>
      </c>
      <c r="V41" s="8">
        <v>10407.972508591065</v>
      </c>
      <c r="W41" s="8">
        <v>345</v>
      </c>
      <c r="X41" s="8">
        <v>1710</v>
      </c>
    </row>
    <row r="42" spans="2:24" ht="15">
      <c r="B42" s="6" t="s">
        <v>60</v>
      </c>
      <c r="C42" s="8">
        <v>15</v>
      </c>
      <c r="D42" s="8">
        <v>14.549999999999999</v>
      </c>
      <c r="E42" s="8">
        <v>175</v>
      </c>
      <c r="F42" s="8">
        <v>475.7236842105265</v>
      </c>
      <c r="G42" s="8">
        <v>85</v>
      </c>
      <c r="H42" s="8">
        <v>252.04347826086973</v>
      </c>
      <c r="I42" s="8">
        <v>65</v>
      </c>
      <c r="J42" s="8">
        <v>80.3636363636366</v>
      </c>
      <c r="K42" s="8"/>
      <c r="L42" s="8"/>
      <c r="M42" s="8">
        <v>10</v>
      </c>
      <c r="N42" s="8">
        <v>9.86666666666667</v>
      </c>
      <c r="O42" s="8">
        <v>5</v>
      </c>
      <c r="P42" s="8">
        <v>4.954545454545455</v>
      </c>
      <c r="Q42" s="8">
        <v>35</v>
      </c>
      <c r="R42" s="8">
        <v>47.6</v>
      </c>
      <c r="S42" s="8">
        <v>5</v>
      </c>
      <c r="T42" s="8">
        <v>43.5</v>
      </c>
      <c r="U42" s="8">
        <v>5</v>
      </c>
      <c r="V42" s="8">
        <v>76.529411764706</v>
      </c>
      <c r="W42" s="8">
        <v>150</v>
      </c>
      <c r="X42" s="8">
        <v>743.4782608695646</v>
      </c>
    </row>
    <row r="43" spans="2:24" ht="15">
      <c r="B43" s="6" t="s">
        <v>52</v>
      </c>
      <c r="C43" s="8">
        <v>10</v>
      </c>
      <c r="D43" s="8">
        <v>9.7</v>
      </c>
      <c r="E43" s="8">
        <v>230</v>
      </c>
      <c r="F43" s="8">
        <v>625.2368421052635</v>
      </c>
      <c r="G43" s="8">
        <v>45</v>
      </c>
      <c r="H43" s="8">
        <v>133.43478260869574</v>
      </c>
      <c r="I43" s="8">
        <v>40</v>
      </c>
      <c r="J43" s="8">
        <v>49.4545454545456</v>
      </c>
      <c r="K43" s="8">
        <v>10</v>
      </c>
      <c r="L43" s="8">
        <v>16.0581818181818</v>
      </c>
      <c r="M43" s="8">
        <v>10</v>
      </c>
      <c r="N43" s="8">
        <v>9.86666666666667</v>
      </c>
      <c r="O43" s="8"/>
      <c r="P43" s="8"/>
      <c r="Q43" s="8">
        <v>45</v>
      </c>
      <c r="R43" s="8">
        <v>61.2</v>
      </c>
      <c r="S43" s="8">
        <v>25</v>
      </c>
      <c r="T43" s="8">
        <v>217.49999999999997</v>
      </c>
      <c r="U43" s="8">
        <v>25</v>
      </c>
      <c r="V43" s="8">
        <v>382.64705882353</v>
      </c>
      <c r="W43" s="8">
        <v>45</v>
      </c>
      <c r="X43" s="8">
        <v>223.04347826086936</v>
      </c>
    </row>
    <row r="44" spans="2:24" ht="15">
      <c r="B44" s="6" t="s">
        <v>53</v>
      </c>
      <c r="C44" s="8">
        <v>20</v>
      </c>
      <c r="D44" s="8">
        <v>19.4</v>
      </c>
      <c r="E44" s="8">
        <v>600</v>
      </c>
      <c r="F44" s="8">
        <v>1631.0526315789482</v>
      </c>
      <c r="G44" s="8">
        <v>55</v>
      </c>
      <c r="H44" s="8">
        <v>163.08695652173924</v>
      </c>
      <c r="I44" s="8">
        <v>40</v>
      </c>
      <c r="J44" s="8">
        <v>49.4545454545456</v>
      </c>
      <c r="K44" s="8"/>
      <c r="L44" s="8"/>
      <c r="M44" s="8"/>
      <c r="N44" s="8"/>
      <c r="O44" s="8"/>
      <c r="P44" s="8"/>
      <c r="Q44" s="8">
        <v>15</v>
      </c>
      <c r="R44" s="8">
        <v>20.400000000000002</v>
      </c>
      <c r="S44" s="8">
        <v>10</v>
      </c>
      <c r="T44" s="8">
        <v>87</v>
      </c>
      <c r="U44" s="8">
        <v>10</v>
      </c>
      <c r="V44" s="8">
        <v>153.058823529412</v>
      </c>
      <c r="W44" s="8">
        <v>25</v>
      </c>
      <c r="X44" s="8">
        <v>123.91304347826076</v>
      </c>
    </row>
    <row r="45" spans="2:24" ht="15">
      <c r="B45" s="6" t="s">
        <v>54</v>
      </c>
      <c r="C45" s="8">
        <v>2</v>
      </c>
      <c r="D45" s="8">
        <v>1.94</v>
      </c>
      <c r="E45" s="8">
        <v>345</v>
      </c>
      <c r="F45" s="8">
        <v>937.8552631578951</v>
      </c>
      <c r="G45" s="8">
        <v>25</v>
      </c>
      <c r="H45" s="8">
        <v>74.13043478260875</v>
      </c>
      <c r="I45" s="8">
        <v>30</v>
      </c>
      <c r="J45" s="8">
        <v>37.0909090909092</v>
      </c>
      <c r="K45" s="8"/>
      <c r="L45" s="8"/>
      <c r="M45" s="8">
        <v>10</v>
      </c>
      <c r="N45" s="8">
        <v>9.86666666666667</v>
      </c>
      <c r="O45" s="8"/>
      <c r="P45" s="8"/>
      <c r="Q45" s="8">
        <v>215</v>
      </c>
      <c r="R45" s="8">
        <v>292.40000000000003</v>
      </c>
      <c r="S45" s="8"/>
      <c r="T45" s="8"/>
      <c r="U45" s="8">
        <v>120</v>
      </c>
      <c r="V45" s="8">
        <v>1836.705882352944</v>
      </c>
      <c r="W45" s="8">
        <v>35</v>
      </c>
      <c r="X45" s="8">
        <v>173.47826086956505</v>
      </c>
    </row>
    <row r="46" spans="2:24" ht="15">
      <c r="B46" s="6" t="s">
        <v>55</v>
      </c>
      <c r="C46" s="8"/>
      <c r="D46" s="8"/>
      <c r="E46" s="8">
        <v>5</v>
      </c>
      <c r="F46" s="8">
        <v>13.592105263157901</v>
      </c>
      <c r="G46" s="8">
        <v>1</v>
      </c>
      <c r="H46" s="8">
        <v>2.96521739130435</v>
      </c>
      <c r="I46" s="8">
        <v>10</v>
      </c>
      <c r="J46" s="8">
        <v>12.3636363636364</v>
      </c>
      <c r="K46" s="8"/>
      <c r="L46" s="8"/>
      <c r="M46" s="8">
        <v>1</v>
      </c>
      <c r="N46" s="8">
        <v>0.986666666666667</v>
      </c>
      <c r="O46" s="8">
        <v>20</v>
      </c>
      <c r="P46" s="8">
        <v>19.81818181818182</v>
      </c>
      <c r="Q46" s="8">
        <v>1</v>
      </c>
      <c r="R46" s="8">
        <v>1.36</v>
      </c>
      <c r="S46" s="8"/>
      <c r="T46" s="8"/>
      <c r="U46" s="8"/>
      <c r="V46" s="8"/>
      <c r="W46" s="8">
        <v>10</v>
      </c>
      <c r="X46" s="8">
        <v>49.5652173913043</v>
      </c>
    </row>
    <row r="47" spans="2:24" ht="15">
      <c r="B47" s="7" t="s">
        <v>61</v>
      </c>
      <c r="C47" s="9">
        <v>122</v>
      </c>
      <c r="D47" s="9">
        <v>118.8042857142857</v>
      </c>
      <c r="E47" s="9">
        <v>3255</v>
      </c>
      <c r="F47" s="9">
        <v>8848.06021234405</v>
      </c>
      <c r="G47" s="9">
        <v>441</v>
      </c>
      <c r="H47" s="9">
        <v>1307.5704173039114</v>
      </c>
      <c r="I47" s="9">
        <v>570</v>
      </c>
      <c r="J47" s="9">
        <v>705.1301504251152</v>
      </c>
      <c r="K47" s="9">
        <v>2760</v>
      </c>
      <c r="L47" s="9">
        <v>4432.148147216106</v>
      </c>
      <c r="M47" s="9">
        <v>331</v>
      </c>
      <c r="N47" s="9">
        <v>326.31316239316243</v>
      </c>
      <c r="O47" s="9">
        <v>135</v>
      </c>
      <c r="P47" s="9">
        <v>133.8997113997114</v>
      </c>
      <c r="Q47" s="9">
        <v>361</v>
      </c>
      <c r="R47" s="9">
        <v>490.90871794871805</v>
      </c>
      <c r="S47" s="9">
        <v>90</v>
      </c>
      <c r="T47" s="9">
        <v>435.1428571428571</v>
      </c>
      <c r="U47" s="9">
        <v>840</v>
      </c>
      <c r="V47" s="9">
        <v>12856.913685061658</v>
      </c>
      <c r="W47" s="9">
        <v>610</v>
      </c>
      <c r="X47" s="9">
        <v>3023.4782608695646</v>
      </c>
    </row>
    <row r="48" spans="2:24" ht="15">
      <c r="B48" s="36" t="s">
        <v>57</v>
      </c>
      <c r="C48" s="37">
        <v>2164</v>
      </c>
      <c r="D48" s="37">
        <v>2092.1375602839503</v>
      </c>
      <c r="E48" s="37">
        <v>18045</v>
      </c>
      <c r="F48" s="37">
        <v>57126.94788261879</v>
      </c>
      <c r="G48" s="37">
        <v>7586</v>
      </c>
      <c r="H48" s="37">
        <v>9342.207973506316</v>
      </c>
      <c r="I48" s="37">
        <v>7310</v>
      </c>
      <c r="J48" s="37">
        <v>8466.34371160633</v>
      </c>
      <c r="K48" s="37">
        <v>6585</v>
      </c>
      <c r="L48" s="37">
        <v>11259.101374007318</v>
      </c>
      <c r="M48" s="37">
        <v>1584</v>
      </c>
      <c r="N48" s="37">
        <v>1594.4215568972093</v>
      </c>
      <c r="O48" s="37">
        <v>16038</v>
      </c>
      <c r="P48" s="37">
        <v>15067.97164516857</v>
      </c>
      <c r="Q48" s="37">
        <v>5888</v>
      </c>
      <c r="R48" s="37">
        <v>8915.67302436813</v>
      </c>
      <c r="S48" s="37">
        <v>5452</v>
      </c>
      <c r="T48" s="37">
        <v>67816.58421071211</v>
      </c>
      <c r="U48" s="37">
        <v>6636</v>
      </c>
      <c r="V48" s="37">
        <v>97400.8090658748</v>
      </c>
      <c r="W48" s="37">
        <v>7625</v>
      </c>
      <c r="X48" s="37">
        <v>32127.87308204486</v>
      </c>
    </row>
    <row r="57" ht="15">
      <c r="B57" s="1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BI48"/>
  <sheetViews>
    <sheetView zoomScalePageLayoutView="0" workbookViewId="0" topLeftCell="N1">
      <selection activeCell="BB2" sqref="BB2:BG2"/>
    </sheetView>
  </sheetViews>
  <sheetFormatPr defaultColWidth="9.140625" defaultRowHeight="15"/>
  <cols>
    <col min="2" max="2" width="14.8515625" style="0" customWidth="1"/>
  </cols>
  <sheetData>
    <row r="2" spans="2:54" ht="18.75">
      <c r="B2" s="14" t="s">
        <v>142</v>
      </c>
      <c r="T2" s="14" t="s">
        <v>142</v>
      </c>
      <c r="AL2" s="14" t="s">
        <v>142</v>
      </c>
      <c r="BB2" s="14" t="s">
        <v>142</v>
      </c>
    </row>
    <row r="3" ht="19.5" thickBot="1">
      <c r="B3" s="14" t="s">
        <v>134</v>
      </c>
    </row>
    <row r="4" spans="2:60" ht="15.75" thickBot="1">
      <c r="B4" s="96" t="s">
        <v>0</v>
      </c>
      <c r="C4" s="94" t="s">
        <v>95</v>
      </c>
      <c r="D4" s="95"/>
      <c r="E4" s="94" t="s">
        <v>96</v>
      </c>
      <c r="F4" s="95"/>
      <c r="G4" s="94" t="s">
        <v>97</v>
      </c>
      <c r="H4" s="95"/>
      <c r="I4" s="94" t="s">
        <v>98</v>
      </c>
      <c r="J4" s="95"/>
      <c r="K4" s="94" t="s">
        <v>99</v>
      </c>
      <c r="L4" s="95"/>
      <c r="M4" s="94" t="s">
        <v>100</v>
      </c>
      <c r="N4" s="95"/>
      <c r="O4" s="94" t="s">
        <v>101</v>
      </c>
      <c r="P4" s="95"/>
      <c r="Q4" s="94" t="s">
        <v>102</v>
      </c>
      <c r="R4" s="95"/>
      <c r="T4" s="96" t="s">
        <v>0</v>
      </c>
      <c r="U4" s="93" t="s">
        <v>103</v>
      </c>
      <c r="V4" s="93"/>
      <c r="W4" s="93" t="s">
        <v>104</v>
      </c>
      <c r="X4" s="93"/>
      <c r="Y4" s="93" t="s">
        <v>105</v>
      </c>
      <c r="Z4" s="93"/>
      <c r="AA4" s="93" t="s">
        <v>106</v>
      </c>
      <c r="AB4" s="93"/>
      <c r="AC4" s="93" t="s">
        <v>107</v>
      </c>
      <c r="AD4" s="93"/>
      <c r="AE4" s="93" t="s">
        <v>108</v>
      </c>
      <c r="AF4" s="93"/>
      <c r="AG4" s="93" t="s">
        <v>109</v>
      </c>
      <c r="AH4" s="93"/>
      <c r="AI4" s="93" t="s">
        <v>110</v>
      </c>
      <c r="AJ4" s="93"/>
      <c r="AL4" s="96" t="s">
        <v>0</v>
      </c>
      <c r="AM4" s="93" t="s">
        <v>111</v>
      </c>
      <c r="AN4" s="93"/>
      <c r="AO4" s="93" t="s">
        <v>112</v>
      </c>
      <c r="AP4" s="93"/>
      <c r="AQ4" s="93" t="s">
        <v>113</v>
      </c>
      <c r="AR4" s="93"/>
      <c r="AS4" s="93" t="s">
        <v>114</v>
      </c>
      <c r="AT4" s="93"/>
      <c r="AU4" s="93" t="s">
        <v>115</v>
      </c>
      <c r="AV4" s="93"/>
      <c r="AW4" s="93" t="s">
        <v>116</v>
      </c>
      <c r="AX4" s="93"/>
      <c r="AY4" s="93" t="s">
        <v>117</v>
      </c>
      <c r="AZ4" s="93"/>
      <c r="BB4" s="96" t="s">
        <v>0</v>
      </c>
      <c r="BC4" s="93" t="s">
        <v>118</v>
      </c>
      <c r="BD4" s="93"/>
      <c r="BE4" s="93" t="s">
        <v>119</v>
      </c>
      <c r="BF4" s="93"/>
      <c r="BG4" s="93" t="s">
        <v>120</v>
      </c>
      <c r="BH4" s="93"/>
    </row>
    <row r="5" spans="2:60" ht="15.75" thickBot="1">
      <c r="B5" s="97"/>
      <c r="C5" s="38" t="s">
        <v>121</v>
      </c>
      <c r="D5" s="39" t="s">
        <v>122</v>
      </c>
      <c r="E5" s="38" t="s">
        <v>121</v>
      </c>
      <c r="F5" s="39" t="s">
        <v>122</v>
      </c>
      <c r="G5" s="38" t="s">
        <v>121</v>
      </c>
      <c r="H5" s="39" t="s">
        <v>122</v>
      </c>
      <c r="I5" s="38" t="s">
        <v>121</v>
      </c>
      <c r="J5" s="39" t="s">
        <v>122</v>
      </c>
      <c r="K5" s="38" t="s">
        <v>121</v>
      </c>
      <c r="L5" s="39" t="s">
        <v>122</v>
      </c>
      <c r="M5" s="38" t="s">
        <v>121</v>
      </c>
      <c r="N5" s="39" t="s">
        <v>122</v>
      </c>
      <c r="O5" s="38" t="s">
        <v>121</v>
      </c>
      <c r="P5" s="39" t="s">
        <v>122</v>
      </c>
      <c r="Q5" s="38" t="s">
        <v>121</v>
      </c>
      <c r="R5" s="39" t="s">
        <v>122</v>
      </c>
      <c r="T5" s="97"/>
      <c r="U5" s="38" t="s">
        <v>121</v>
      </c>
      <c r="V5" s="39" t="s">
        <v>122</v>
      </c>
      <c r="W5" s="38" t="s">
        <v>121</v>
      </c>
      <c r="X5" s="39" t="s">
        <v>122</v>
      </c>
      <c r="Y5" s="38" t="s">
        <v>121</v>
      </c>
      <c r="Z5" s="39" t="s">
        <v>122</v>
      </c>
      <c r="AA5" s="38" t="s">
        <v>121</v>
      </c>
      <c r="AB5" s="39" t="s">
        <v>122</v>
      </c>
      <c r="AC5" s="38" t="s">
        <v>121</v>
      </c>
      <c r="AD5" s="39" t="s">
        <v>122</v>
      </c>
      <c r="AE5" s="38" t="s">
        <v>121</v>
      </c>
      <c r="AF5" s="39" t="s">
        <v>122</v>
      </c>
      <c r="AG5" s="38" t="s">
        <v>121</v>
      </c>
      <c r="AH5" s="39" t="s">
        <v>122</v>
      </c>
      <c r="AI5" s="38" t="s">
        <v>121</v>
      </c>
      <c r="AJ5" s="39" t="s">
        <v>122</v>
      </c>
      <c r="AL5" s="97"/>
      <c r="AM5" s="38" t="s">
        <v>121</v>
      </c>
      <c r="AN5" s="39" t="s">
        <v>122</v>
      </c>
      <c r="AO5" s="38" t="s">
        <v>121</v>
      </c>
      <c r="AP5" s="39" t="s">
        <v>122</v>
      </c>
      <c r="AQ5" s="38" t="s">
        <v>121</v>
      </c>
      <c r="AR5" s="39" t="s">
        <v>122</v>
      </c>
      <c r="AS5" s="38" t="s">
        <v>121</v>
      </c>
      <c r="AT5" s="39" t="s">
        <v>122</v>
      </c>
      <c r="AU5" s="38" t="s">
        <v>121</v>
      </c>
      <c r="AV5" s="39" t="s">
        <v>122</v>
      </c>
      <c r="AW5" s="38" t="s">
        <v>121</v>
      </c>
      <c r="AX5" s="39" t="s">
        <v>122</v>
      </c>
      <c r="AY5" s="38" t="s">
        <v>121</v>
      </c>
      <c r="AZ5" s="39" t="s">
        <v>122</v>
      </c>
      <c r="BB5" s="97"/>
      <c r="BC5" s="38" t="s">
        <v>121</v>
      </c>
      <c r="BD5" s="39" t="s">
        <v>122</v>
      </c>
      <c r="BE5" s="38" t="s">
        <v>121</v>
      </c>
      <c r="BF5" s="39" t="s">
        <v>122</v>
      </c>
      <c r="BG5" s="38" t="s">
        <v>121</v>
      </c>
      <c r="BH5" s="39" t="s">
        <v>122</v>
      </c>
    </row>
    <row r="6" spans="2:60" ht="15">
      <c r="B6" s="40" t="s">
        <v>16</v>
      </c>
      <c r="C6" s="41">
        <v>0</v>
      </c>
      <c r="D6" s="41">
        <v>0</v>
      </c>
      <c r="E6" s="41">
        <v>0</v>
      </c>
      <c r="F6" s="41">
        <v>0</v>
      </c>
      <c r="G6" s="41">
        <v>45</v>
      </c>
      <c r="H6" s="41">
        <f>75/13*G6</f>
        <v>259.6153846153846</v>
      </c>
      <c r="I6" s="41">
        <v>15</v>
      </c>
      <c r="J6" s="41">
        <f>246/12*I6</f>
        <v>307.5</v>
      </c>
      <c r="K6" s="41">
        <v>15.735248845561825</v>
      </c>
      <c r="L6" s="41">
        <v>280.26998418606706</v>
      </c>
      <c r="M6" s="41">
        <v>0</v>
      </c>
      <c r="N6" s="41">
        <v>0</v>
      </c>
      <c r="O6" s="41">
        <v>0</v>
      </c>
      <c r="P6" s="41">
        <v>0</v>
      </c>
      <c r="Q6" s="41">
        <v>20</v>
      </c>
      <c r="R6" s="41">
        <f>160/16*Q6</f>
        <v>200</v>
      </c>
      <c r="T6" s="40" t="s">
        <v>16</v>
      </c>
      <c r="U6" s="41">
        <v>0</v>
      </c>
      <c r="V6" s="41">
        <v>0</v>
      </c>
      <c r="W6" s="41">
        <v>0</v>
      </c>
      <c r="X6" s="41">
        <v>0</v>
      </c>
      <c r="Y6" s="41">
        <v>60</v>
      </c>
      <c r="Z6" s="41">
        <v>240</v>
      </c>
      <c r="AA6" s="41">
        <v>30</v>
      </c>
      <c r="AB6" s="42">
        <f>220/44*AA6</f>
        <v>150</v>
      </c>
      <c r="AC6" s="41">
        <v>75</v>
      </c>
      <c r="AD6" s="42">
        <f>726/73*AC6</f>
        <v>745.8904109589041</v>
      </c>
      <c r="AE6" s="41">
        <v>55</v>
      </c>
      <c r="AF6" s="41">
        <f>60/55*AE6</f>
        <v>59.99999999999999</v>
      </c>
      <c r="AG6" s="41">
        <v>60</v>
      </c>
      <c r="AH6" s="41">
        <f>873/58*AG6</f>
        <v>903.103448275862</v>
      </c>
      <c r="AI6" s="41">
        <v>30</v>
      </c>
      <c r="AJ6" s="41">
        <f>275/28*AI6</f>
        <v>294.6428571428571</v>
      </c>
      <c r="AL6" s="40" t="s">
        <v>16</v>
      </c>
      <c r="AM6" s="41">
        <v>40</v>
      </c>
      <c r="AN6" s="41">
        <f>394/33*AM6</f>
        <v>477.57575757575756</v>
      </c>
      <c r="AO6" s="41">
        <v>0</v>
      </c>
      <c r="AP6" s="41"/>
      <c r="AQ6" s="41">
        <v>70</v>
      </c>
      <c r="AR6" s="41">
        <f>442/63*AQ6</f>
        <v>491.1111111111111</v>
      </c>
      <c r="AS6" s="41">
        <v>30</v>
      </c>
      <c r="AT6" s="42">
        <f>230/23*AS6</f>
        <v>300</v>
      </c>
      <c r="AU6" s="41">
        <v>35</v>
      </c>
      <c r="AV6" s="42">
        <f>468/35*AU6</f>
        <v>468</v>
      </c>
      <c r="AW6" s="41">
        <v>60</v>
      </c>
      <c r="AX6" s="42">
        <f>1045/55*AW6</f>
        <v>1140</v>
      </c>
      <c r="AY6" s="41">
        <v>0</v>
      </c>
      <c r="AZ6" s="41">
        <v>0</v>
      </c>
      <c r="BB6" s="40" t="s">
        <v>16</v>
      </c>
      <c r="BC6" s="41">
        <v>20</v>
      </c>
      <c r="BD6" s="42">
        <f>130/13*BC6</f>
        <v>200</v>
      </c>
      <c r="BE6" s="41">
        <v>100</v>
      </c>
      <c r="BF6" s="42">
        <f>1146/96*BE6</f>
        <v>1193.75</v>
      </c>
      <c r="BG6" s="41">
        <v>15</v>
      </c>
      <c r="BH6" s="41">
        <f>53/5*BG6</f>
        <v>159</v>
      </c>
    </row>
    <row r="7" spans="2:60" ht="15">
      <c r="B7" s="43" t="s">
        <v>17</v>
      </c>
      <c r="C7" s="44">
        <v>0</v>
      </c>
      <c r="D7" s="44">
        <v>0</v>
      </c>
      <c r="E7" s="44">
        <v>2.3907524932003628</v>
      </c>
      <c r="F7" s="44">
        <v>8</v>
      </c>
      <c r="G7" s="44">
        <v>50</v>
      </c>
      <c r="H7" s="44">
        <f>75/13*G7</f>
        <v>288.46153846153845</v>
      </c>
      <c r="I7" s="44">
        <v>20</v>
      </c>
      <c r="J7" s="44">
        <f>246/12*I7</f>
        <v>410</v>
      </c>
      <c r="K7" s="44">
        <v>1.4304771677783479</v>
      </c>
      <c r="L7" s="44">
        <v>25.479089471460643</v>
      </c>
      <c r="M7" s="44">
        <v>0</v>
      </c>
      <c r="N7" s="44">
        <v>0</v>
      </c>
      <c r="O7" s="44">
        <v>0</v>
      </c>
      <c r="P7" s="44">
        <v>0</v>
      </c>
      <c r="Q7" s="44">
        <v>50</v>
      </c>
      <c r="R7" s="44">
        <f>160/16*Q7</f>
        <v>500</v>
      </c>
      <c r="T7" s="43" t="s">
        <v>17</v>
      </c>
      <c r="U7" s="44">
        <v>0</v>
      </c>
      <c r="V7" s="44">
        <v>0</v>
      </c>
      <c r="W7" s="44">
        <v>0</v>
      </c>
      <c r="X7" s="44">
        <v>0</v>
      </c>
      <c r="Y7" s="44">
        <v>100</v>
      </c>
      <c r="Z7" s="44">
        <v>400</v>
      </c>
      <c r="AA7" s="44">
        <v>45</v>
      </c>
      <c r="AB7" s="44">
        <f>220/44*AA7</f>
        <v>225</v>
      </c>
      <c r="AC7" s="44">
        <v>120</v>
      </c>
      <c r="AD7" s="44">
        <f>726/73*AC7</f>
        <v>1193.4246575342465</v>
      </c>
      <c r="AE7" s="44">
        <v>85</v>
      </c>
      <c r="AF7" s="45">
        <f>60/55*AE7</f>
        <v>92.72727272727272</v>
      </c>
      <c r="AG7" s="46">
        <v>80</v>
      </c>
      <c r="AH7" s="44">
        <f>873/58*AG7</f>
        <v>1204.1379310344828</v>
      </c>
      <c r="AI7" s="46">
        <v>75</v>
      </c>
      <c r="AJ7" s="45">
        <f>275/28*AI7</f>
        <v>736.6071428571429</v>
      </c>
      <c r="AL7" s="43" t="s">
        <v>17</v>
      </c>
      <c r="AM7" s="46">
        <v>20</v>
      </c>
      <c r="AN7" s="44">
        <f>394/33*AM7</f>
        <v>238.78787878787878</v>
      </c>
      <c r="AO7" s="46">
        <v>0</v>
      </c>
      <c r="AP7" s="46"/>
      <c r="AQ7" s="46">
        <v>115</v>
      </c>
      <c r="AR7" s="44">
        <f>442/63*AQ7</f>
        <v>806.8253968253969</v>
      </c>
      <c r="AS7" s="44">
        <v>25</v>
      </c>
      <c r="AT7" s="47">
        <f>230/23*AS7</f>
        <v>250</v>
      </c>
      <c r="AU7" s="44">
        <v>140</v>
      </c>
      <c r="AV7" s="47">
        <f>468/35*AU7</f>
        <v>1872</v>
      </c>
      <c r="AW7" s="44">
        <v>80</v>
      </c>
      <c r="AX7" s="47">
        <f>1045/55*AW7</f>
        <v>1520</v>
      </c>
      <c r="AY7" s="44">
        <v>0</v>
      </c>
      <c r="AZ7" s="44">
        <v>0</v>
      </c>
      <c r="BB7" s="43" t="s">
        <v>17</v>
      </c>
      <c r="BC7" s="44">
        <v>15</v>
      </c>
      <c r="BD7" s="47">
        <f>130/13*BC7</f>
        <v>150</v>
      </c>
      <c r="BE7" s="44">
        <v>650</v>
      </c>
      <c r="BF7" s="44">
        <f>1146/96*BE7</f>
        <v>7759.375</v>
      </c>
      <c r="BG7" s="44">
        <v>40</v>
      </c>
      <c r="BH7" s="44">
        <f>53/5*BG7</f>
        <v>424</v>
      </c>
    </row>
    <row r="8" spans="2:60" ht="15">
      <c r="B8" s="43" t="s">
        <v>18</v>
      </c>
      <c r="C8" s="44">
        <v>0</v>
      </c>
      <c r="D8" s="44">
        <v>0</v>
      </c>
      <c r="E8" s="44">
        <v>0</v>
      </c>
      <c r="F8" s="44">
        <v>0</v>
      </c>
      <c r="G8" s="44">
        <v>40</v>
      </c>
      <c r="H8" s="46">
        <f>75/13*G8</f>
        <v>230.76923076923077</v>
      </c>
      <c r="I8" s="44">
        <v>40</v>
      </c>
      <c r="J8" s="46">
        <f>246/12*I8</f>
        <v>820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60</v>
      </c>
      <c r="R8" s="46">
        <f>160/16*Q8</f>
        <v>600</v>
      </c>
      <c r="T8" s="43" t="s">
        <v>18</v>
      </c>
      <c r="U8" s="44">
        <v>0</v>
      </c>
      <c r="V8" s="44">
        <v>0</v>
      </c>
      <c r="W8" s="44">
        <v>0</v>
      </c>
      <c r="X8" s="44">
        <v>0</v>
      </c>
      <c r="Y8" s="44">
        <v>130</v>
      </c>
      <c r="Z8" s="44">
        <v>520</v>
      </c>
      <c r="AA8" s="44">
        <v>60</v>
      </c>
      <c r="AB8" s="46">
        <f>220/44*AA8</f>
        <v>300</v>
      </c>
      <c r="AC8" s="44">
        <v>150</v>
      </c>
      <c r="AD8" s="46">
        <f>726/73*AC8</f>
        <v>1491.7808219178082</v>
      </c>
      <c r="AE8" s="44">
        <v>100</v>
      </c>
      <c r="AF8" s="44">
        <f>60/55*AE8</f>
        <v>109.09090909090908</v>
      </c>
      <c r="AG8" s="44">
        <v>100</v>
      </c>
      <c r="AH8" s="46">
        <f>873/58*AG8</f>
        <v>1505.1724137931035</v>
      </c>
      <c r="AI8" s="44">
        <v>100</v>
      </c>
      <c r="AJ8" s="44">
        <f>275/28*AI8</f>
        <v>982.1428571428571</v>
      </c>
      <c r="AL8" s="43" t="s">
        <v>18</v>
      </c>
      <c r="AM8" s="44">
        <v>50</v>
      </c>
      <c r="AN8" s="46">
        <f>394/33*AM8</f>
        <v>596.969696969697</v>
      </c>
      <c r="AO8" s="44">
        <v>0</v>
      </c>
      <c r="AP8" s="44"/>
      <c r="AQ8" s="44">
        <v>130</v>
      </c>
      <c r="AR8" s="46">
        <f>442/63*AQ8</f>
        <v>912.063492063492</v>
      </c>
      <c r="AS8" s="44">
        <v>40</v>
      </c>
      <c r="AT8" s="44">
        <f>230/23*AS8</f>
        <v>400</v>
      </c>
      <c r="AU8" s="44">
        <v>75</v>
      </c>
      <c r="AV8" s="44">
        <f>468/35*AU8</f>
        <v>1002.8571428571429</v>
      </c>
      <c r="AW8" s="44">
        <v>220</v>
      </c>
      <c r="AX8" s="44">
        <f>1045/55*AW8</f>
        <v>4180</v>
      </c>
      <c r="AY8" s="44">
        <v>0</v>
      </c>
      <c r="AZ8" s="44">
        <v>0</v>
      </c>
      <c r="BB8" s="43" t="s">
        <v>18</v>
      </c>
      <c r="BC8" s="44">
        <v>60</v>
      </c>
      <c r="BD8" s="44">
        <f>130/13*BC8</f>
        <v>600</v>
      </c>
      <c r="BE8" s="44">
        <v>230</v>
      </c>
      <c r="BF8" s="46">
        <f>1146/96*BE8</f>
        <v>2745.625</v>
      </c>
      <c r="BG8" s="44">
        <v>160</v>
      </c>
      <c r="BH8" s="46">
        <f>53/5*BG8</f>
        <v>1696</v>
      </c>
    </row>
    <row r="9" spans="2:61" ht="15">
      <c r="B9" s="48" t="s">
        <v>123</v>
      </c>
      <c r="C9" s="49">
        <f>SUM(C6:C8)</f>
        <v>0</v>
      </c>
      <c r="D9" s="49">
        <f aca="true" t="shared" si="0" ref="D9:BH9">SUM(D6:D8)</f>
        <v>0</v>
      </c>
      <c r="E9" s="49">
        <f t="shared" si="0"/>
        <v>2.3907524932003628</v>
      </c>
      <c r="F9" s="49">
        <f t="shared" si="0"/>
        <v>8</v>
      </c>
      <c r="G9" s="49">
        <f t="shared" si="0"/>
        <v>135</v>
      </c>
      <c r="H9" s="49">
        <f t="shared" si="0"/>
        <v>778.8461538461538</v>
      </c>
      <c r="I9" s="49">
        <f t="shared" si="0"/>
        <v>75</v>
      </c>
      <c r="J9" s="49">
        <f t="shared" si="0"/>
        <v>1537.5</v>
      </c>
      <c r="K9" s="49">
        <f t="shared" si="0"/>
        <v>17.165726013340173</v>
      </c>
      <c r="L9" s="49">
        <f t="shared" si="0"/>
        <v>305.74907365752773</v>
      </c>
      <c r="M9" s="49">
        <f t="shared" si="0"/>
        <v>0</v>
      </c>
      <c r="N9" s="49">
        <f t="shared" si="0"/>
        <v>0</v>
      </c>
      <c r="O9" s="49">
        <f t="shared" si="0"/>
        <v>0</v>
      </c>
      <c r="P9" s="49">
        <f t="shared" si="0"/>
        <v>0</v>
      </c>
      <c r="Q9" s="49">
        <f t="shared" si="0"/>
        <v>130</v>
      </c>
      <c r="R9" s="49">
        <f t="shared" si="0"/>
        <v>1300</v>
      </c>
      <c r="T9" s="48" t="s">
        <v>123</v>
      </c>
      <c r="U9" s="49">
        <f t="shared" si="0"/>
        <v>0</v>
      </c>
      <c r="V9" s="49">
        <f t="shared" si="0"/>
        <v>0</v>
      </c>
      <c r="W9" s="49">
        <f t="shared" si="0"/>
        <v>0</v>
      </c>
      <c r="X9" s="49">
        <f t="shared" si="0"/>
        <v>0</v>
      </c>
      <c r="Y9" s="49">
        <f t="shared" si="0"/>
        <v>290</v>
      </c>
      <c r="Z9" s="49">
        <f t="shared" si="0"/>
        <v>1160</v>
      </c>
      <c r="AA9" s="49">
        <f t="shared" si="0"/>
        <v>135</v>
      </c>
      <c r="AB9" s="49">
        <f t="shared" si="0"/>
        <v>675</v>
      </c>
      <c r="AC9" s="49">
        <f t="shared" si="0"/>
        <v>345</v>
      </c>
      <c r="AD9" s="49">
        <f t="shared" si="0"/>
        <v>3431.095890410959</v>
      </c>
      <c r="AE9" s="49">
        <f t="shared" si="0"/>
        <v>240</v>
      </c>
      <c r="AF9" s="49">
        <f t="shared" si="0"/>
        <v>261.8181818181818</v>
      </c>
      <c r="AG9" s="49">
        <f t="shared" si="0"/>
        <v>240</v>
      </c>
      <c r="AH9" s="49">
        <f t="shared" si="0"/>
        <v>3612.4137931034484</v>
      </c>
      <c r="AI9" s="49">
        <f t="shared" si="0"/>
        <v>205</v>
      </c>
      <c r="AJ9" s="49">
        <f t="shared" si="0"/>
        <v>2013.392857142857</v>
      </c>
      <c r="AL9" s="48" t="s">
        <v>123</v>
      </c>
      <c r="AM9" s="49">
        <f t="shared" si="0"/>
        <v>110</v>
      </c>
      <c r="AN9" s="49">
        <f t="shared" si="0"/>
        <v>1313.3333333333335</v>
      </c>
      <c r="AO9" s="49">
        <f t="shared" si="0"/>
        <v>0</v>
      </c>
      <c r="AP9" s="49">
        <f t="shared" si="0"/>
        <v>0</v>
      </c>
      <c r="AQ9" s="49">
        <f t="shared" si="0"/>
        <v>315</v>
      </c>
      <c r="AR9" s="49">
        <f t="shared" si="0"/>
        <v>2210</v>
      </c>
      <c r="AS9" s="49">
        <f t="shared" si="0"/>
        <v>95</v>
      </c>
      <c r="AT9" s="49">
        <f t="shared" si="0"/>
        <v>950</v>
      </c>
      <c r="AU9" s="49">
        <f t="shared" si="0"/>
        <v>250</v>
      </c>
      <c r="AV9" s="49">
        <f t="shared" si="0"/>
        <v>3342.857142857143</v>
      </c>
      <c r="AW9" s="49">
        <f t="shared" si="0"/>
        <v>360</v>
      </c>
      <c r="AX9" s="49">
        <f t="shared" si="0"/>
        <v>6840</v>
      </c>
      <c r="AY9" s="49">
        <f t="shared" si="0"/>
        <v>0</v>
      </c>
      <c r="AZ9" s="49">
        <f t="shared" si="0"/>
        <v>0</v>
      </c>
      <c r="BB9" s="48" t="s">
        <v>123</v>
      </c>
      <c r="BC9" s="49">
        <f t="shared" si="0"/>
        <v>95</v>
      </c>
      <c r="BD9" s="49">
        <f t="shared" si="0"/>
        <v>950</v>
      </c>
      <c r="BE9" s="49">
        <f t="shared" si="0"/>
        <v>980</v>
      </c>
      <c r="BF9" s="49">
        <f t="shared" si="0"/>
        <v>11698.75</v>
      </c>
      <c r="BG9" s="49">
        <f t="shared" si="0"/>
        <v>215</v>
      </c>
      <c r="BH9" s="49">
        <f t="shared" si="0"/>
        <v>2279</v>
      </c>
      <c r="BI9" s="13"/>
    </row>
    <row r="10" spans="2:60" ht="15">
      <c r="B10" s="43" t="s">
        <v>20</v>
      </c>
      <c r="C10" s="44">
        <v>2.3414376321353068</v>
      </c>
      <c r="D10" s="44">
        <f>27540/1377*C10</f>
        <v>46.828752642706135</v>
      </c>
      <c r="E10" s="44">
        <v>700</v>
      </c>
      <c r="F10" s="44">
        <f>17730/1182*E10</f>
        <v>10500</v>
      </c>
      <c r="G10" s="44">
        <v>150</v>
      </c>
      <c r="H10" s="44">
        <f>1534/219*G10</f>
        <v>1050.6849315068494</v>
      </c>
      <c r="I10" s="44">
        <v>650</v>
      </c>
      <c r="J10" s="44">
        <f>7680/512*I10</f>
        <v>9750</v>
      </c>
      <c r="K10" s="44">
        <v>500</v>
      </c>
      <c r="L10" s="44">
        <f>5700/475*K10</f>
        <v>6000</v>
      </c>
      <c r="M10" s="44">
        <v>140</v>
      </c>
      <c r="N10" s="44">
        <f>1350/133*M10</f>
        <v>1421.0526315789475</v>
      </c>
      <c r="O10" s="44">
        <v>125</v>
      </c>
      <c r="P10" s="44">
        <f>565/113*O10</f>
        <v>625</v>
      </c>
      <c r="Q10" s="44">
        <v>130</v>
      </c>
      <c r="R10" s="44">
        <f>2580/129*Q10</f>
        <v>2600</v>
      </c>
      <c r="T10" s="43" t="s">
        <v>20</v>
      </c>
      <c r="U10" s="44">
        <v>150</v>
      </c>
      <c r="V10" s="44">
        <v>1500</v>
      </c>
      <c r="W10" s="44">
        <v>20</v>
      </c>
      <c r="X10" s="44">
        <v>200</v>
      </c>
      <c r="Y10" s="44">
        <v>100</v>
      </c>
      <c r="Z10" s="44">
        <f>294/98*Y10</f>
        <v>300</v>
      </c>
      <c r="AA10" s="44">
        <v>20</v>
      </c>
      <c r="AB10" s="44">
        <v>60</v>
      </c>
      <c r="AC10" s="44">
        <v>140</v>
      </c>
      <c r="AD10" s="44">
        <f>512/128*AC10</f>
        <v>560</v>
      </c>
      <c r="AE10" s="44">
        <v>110</v>
      </c>
      <c r="AF10" s="44">
        <f>1099/103*AE10</f>
        <v>1173.6893203883494</v>
      </c>
      <c r="AG10" s="44">
        <v>100</v>
      </c>
      <c r="AH10" s="44">
        <f>270/90*AG10</f>
        <v>300</v>
      </c>
      <c r="AI10" s="44">
        <v>170</v>
      </c>
      <c r="AJ10" s="44">
        <f>507/169*AI10</f>
        <v>510</v>
      </c>
      <c r="AL10" s="43" t="s">
        <v>20</v>
      </c>
      <c r="AM10" s="44">
        <v>90</v>
      </c>
      <c r="AN10" s="44">
        <f>840/84*AM10</f>
        <v>900</v>
      </c>
      <c r="AO10" s="44">
        <v>90</v>
      </c>
      <c r="AP10" s="44">
        <f>1290/86*AO10</f>
        <v>1350</v>
      </c>
      <c r="AQ10" s="44">
        <v>180</v>
      </c>
      <c r="AR10" s="44">
        <f>2099/177*AQ10</f>
        <v>2134.576271186441</v>
      </c>
      <c r="AS10" s="44">
        <v>50</v>
      </c>
      <c r="AT10" s="44">
        <f>490/49*AS10</f>
        <v>500</v>
      </c>
      <c r="AU10" s="44">
        <v>140</v>
      </c>
      <c r="AV10" s="44">
        <f>1662/132*AU10</f>
        <v>1762.7272727272727</v>
      </c>
      <c r="AW10" s="44">
        <v>70</v>
      </c>
      <c r="AX10" s="44">
        <f>272/68*AW10</f>
        <v>280</v>
      </c>
      <c r="AY10" s="44">
        <v>0</v>
      </c>
      <c r="AZ10" s="44">
        <v>0</v>
      </c>
      <c r="BB10" s="43" t="s">
        <v>20</v>
      </c>
      <c r="BC10" s="44">
        <v>24.305084745762713</v>
      </c>
      <c r="BD10" s="44">
        <v>240</v>
      </c>
      <c r="BE10" s="44">
        <v>130</v>
      </c>
      <c r="BF10" s="44">
        <f>1860/124*BE10</f>
        <v>1950</v>
      </c>
      <c r="BG10" s="44">
        <v>40</v>
      </c>
      <c r="BH10" s="44">
        <f>280/28*BG10</f>
        <v>400</v>
      </c>
    </row>
    <row r="11" spans="2:60" ht="15">
      <c r="B11" s="43" t="s">
        <v>21</v>
      </c>
      <c r="C11" s="44">
        <v>0</v>
      </c>
      <c r="D11" s="44">
        <f>27540/1377*C11</f>
        <v>0</v>
      </c>
      <c r="E11" s="44">
        <v>900</v>
      </c>
      <c r="F11" s="44">
        <v>3074.7116759619184</v>
      </c>
      <c r="G11" s="44">
        <v>230</v>
      </c>
      <c r="H11" s="44">
        <f>1534/219*G11</f>
        <v>1611.0502283105022</v>
      </c>
      <c r="I11" s="44">
        <v>400</v>
      </c>
      <c r="J11" s="44">
        <f>7680/512*I11</f>
        <v>6000</v>
      </c>
      <c r="K11" s="44">
        <v>300</v>
      </c>
      <c r="L11" s="44">
        <f>5700/475*K11</f>
        <v>3600</v>
      </c>
      <c r="M11" s="44">
        <v>3.6744827586206896</v>
      </c>
      <c r="N11" s="44">
        <f>1350/133*M11</f>
        <v>37.29738138449572</v>
      </c>
      <c r="O11" s="44">
        <v>200</v>
      </c>
      <c r="P11" s="44">
        <f>565/113*O11</f>
        <v>1000</v>
      </c>
      <c r="Q11" s="44">
        <v>100</v>
      </c>
      <c r="R11" s="44">
        <f>2580/129*Q11</f>
        <v>2000</v>
      </c>
      <c r="T11" s="43" t="s">
        <v>21</v>
      </c>
      <c r="U11" s="44">
        <v>120</v>
      </c>
      <c r="V11" s="44">
        <v>1200</v>
      </c>
      <c r="W11" s="44">
        <v>15</v>
      </c>
      <c r="X11" s="44">
        <v>150</v>
      </c>
      <c r="Y11" s="44">
        <v>225</v>
      </c>
      <c r="Z11" s="44">
        <f>294/98*Y11</f>
        <v>675</v>
      </c>
      <c r="AA11" s="44">
        <v>75</v>
      </c>
      <c r="AB11" s="44">
        <v>225</v>
      </c>
      <c r="AC11" s="44">
        <v>350</v>
      </c>
      <c r="AD11" s="44">
        <f>512/128*AC11</f>
        <v>1400</v>
      </c>
      <c r="AE11" s="44">
        <v>210</v>
      </c>
      <c r="AF11" s="44">
        <f>1099/103*AE11</f>
        <v>2240.679611650485</v>
      </c>
      <c r="AG11" s="44">
        <v>180</v>
      </c>
      <c r="AH11" s="44">
        <f>270/90*AG11</f>
        <v>540</v>
      </c>
      <c r="AI11" s="44">
        <v>215</v>
      </c>
      <c r="AJ11" s="44">
        <f>507/169*AI11</f>
        <v>645</v>
      </c>
      <c r="AL11" s="43" t="s">
        <v>21</v>
      </c>
      <c r="AM11" s="44">
        <v>290</v>
      </c>
      <c r="AN11" s="44">
        <f>840/84*AM11</f>
        <v>2900</v>
      </c>
      <c r="AO11" s="44">
        <v>310</v>
      </c>
      <c r="AP11" s="44">
        <f>1290/86*AO11</f>
        <v>4650</v>
      </c>
      <c r="AQ11" s="44">
        <v>320</v>
      </c>
      <c r="AR11" s="44">
        <f>2099/177*AQ11</f>
        <v>3794.8022598870057</v>
      </c>
      <c r="AS11" s="44">
        <v>400</v>
      </c>
      <c r="AT11" s="44">
        <f>490/49*AS11</f>
        <v>4000</v>
      </c>
      <c r="AU11" s="44">
        <v>100</v>
      </c>
      <c r="AV11" s="44">
        <f>1662/132*AU11</f>
        <v>1259.0909090909092</v>
      </c>
      <c r="AW11" s="44">
        <v>80</v>
      </c>
      <c r="AX11" s="44">
        <f>272/68*AW11</f>
        <v>320</v>
      </c>
      <c r="AY11" s="44">
        <v>65</v>
      </c>
      <c r="AZ11" s="44">
        <v>650</v>
      </c>
      <c r="BB11" s="43" t="s">
        <v>21</v>
      </c>
      <c r="BC11" s="44">
        <v>65</v>
      </c>
      <c r="BD11" s="44">
        <v>652</v>
      </c>
      <c r="BE11" s="44">
        <v>350</v>
      </c>
      <c r="BF11" s="44">
        <f>1860/124*BE11</f>
        <v>5250</v>
      </c>
      <c r="BG11" s="44">
        <v>420</v>
      </c>
      <c r="BH11" s="44">
        <f>280/28*BG11</f>
        <v>4200</v>
      </c>
    </row>
    <row r="12" spans="2:60" ht="15">
      <c r="B12" s="43" t="s">
        <v>22</v>
      </c>
      <c r="C12" s="44">
        <v>1400</v>
      </c>
      <c r="D12" s="44">
        <f>27540/1377*C12</f>
        <v>28000</v>
      </c>
      <c r="E12" s="44">
        <v>1200</v>
      </c>
      <c r="F12" s="44">
        <v>6177.1859855668345</v>
      </c>
      <c r="G12" s="44">
        <v>450</v>
      </c>
      <c r="H12" s="44">
        <f>1534/219*G12</f>
        <v>3152.054794520548</v>
      </c>
      <c r="I12" s="44">
        <v>700</v>
      </c>
      <c r="J12" s="44">
        <f>7680/512*I12</f>
        <v>10500</v>
      </c>
      <c r="K12" s="44">
        <v>900</v>
      </c>
      <c r="L12" s="44">
        <f>5700/475*K12</f>
        <v>10800</v>
      </c>
      <c r="M12" s="44">
        <v>1200</v>
      </c>
      <c r="N12" s="44">
        <f>1350/133*M12</f>
        <v>12180.45112781955</v>
      </c>
      <c r="O12" s="44">
        <v>650</v>
      </c>
      <c r="P12" s="44">
        <f>565/113*O12</f>
        <v>3250</v>
      </c>
      <c r="Q12" s="44">
        <v>550</v>
      </c>
      <c r="R12" s="44">
        <f>2580/129*Q12</f>
        <v>11000</v>
      </c>
      <c r="T12" s="43" t="s">
        <v>22</v>
      </c>
      <c r="U12" s="44">
        <v>300</v>
      </c>
      <c r="V12" s="44">
        <v>3000</v>
      </c>
      <c r="W12" s="44">
        <v>1000</v>
      </c>
      <c r="X12" s="44">
        <v>11090.262075831026</v>
      </c>
      <c r="Y12" s="44">
        <v>50</v>
      </c>
      <c r="Z12" s="44">
        <f>294/98*Y12</f>
        <v>150</v>
      </c>
      <c r="AA12" s="44">
        <v>20</v>
      </c>
      <c r="AB12" s="44">
        <v>60</v>
      </c>
      <c r="AC12" s="44">
        <v>40</v>
      </c>
      <c r="AD12" s="44">
        <f>512/128*AC12</f>
        <v>160</v>
      </c>
      <c r="AE12" s="44">
        <v>50</v>
      </c>
      <c r="AF12" s="44">
        <f>1099/103*AE12</f>
        <v>533.4951456310679</v>
      </c>
      <c r="AG12" s="44">
        <v>40</v>
      </c>
      <c r="AH12" s="44">
        <f>270/90*AG12</f>
        <v>120</v>
      </c>
      <c r="AI12" s="44">
        <v>60</v>
      </c>
      <c r="AJ12" s="44">
        <f>507/169*AI12</f>
        <v>180</v>
      </c>
      <c r="AL12" s="43" t="s">
        <v>22</v>
      </c>
      <c r="AM12" s="44">
        <v>40</v>
      </c>
      <c r="AN12" s="44">
        <f>840/84*AM12</f>
        <v>400</v>
      </c>
      <c r="AO12" s="44">
        <v>55</v>
      </c>
      <c r="AP12" s="44">
        <f>1290/86*AO12</f>
        <v>825</v>
      </c>
      <c r="AQ12" s="44">
        <v>130</v>
      </c>
      <c r="AR12" s="44">
        <f>2099/177*AQ12</f>
        <v>1541.638418079096</v>
      </c>
      <c r="AS12" s="44">
        <v>25</v>
      </c>
      <c r="AT12" s="44">
        <f>490/49*AS12</f>
        <v>250</v>
      </c>
      <c r="AU12" s="44">
        <v>45</v>
      </c>
      <c r="AV12" s="44">
        <f>1662/132*AU12</f>
        <v>566.5909090909091</v>
      </c>
      <c r="AW12" s="44">
        <v>35</v>
      </c>
      <c r="AX12" s="44">
        <f>272/68*AW12</f>
        <v>140</v>
      </c>
      <c r="AY12" s="44">
        <v>0</v>
      </c>
      <c r="AZ12" s="44">
        <v>0</v>
      </c>
      <c r="BB12" s="43" t="s">
        <v>22</v>
      </c>
      <c r="BC12" s="44">
        <v>60</v>
      </c>
      <c r="BD12" s="44">
        <v>6000</v>
      </c>
      <c r="BE12" s="44">
        <v>130</v>
      </c>
      <c r="BF12" s="44">
        <f>1860/124*BE12</f>
        <v>1950</v>
      </c>
      <c r="BG12" s="44">
        <v>60</v>
      </c>
      <c r="BH12" s="44">
        <f>280/28*BG12</f>
        <v>600</v>
      </c>
    </row>
    <row r="13" spans="2:61" ht="15">
      <c r="B13" s="48" t="s">
        <v>124</v>
      </c>
      <c r="C13" s="49">
        <f>SUM(C10:C12)</f>
        <v>1402.3414376321352</v>
      </c>
      <c r="D13" s="49">
        <f aca="true" t="shared" si="1" ref="D13:BH13">SUM(D10:D12)</f>
        <v>28046.828752642705</v>
      </c>
      <c r="E13" s="49">
        <f t="shared" si="1"/>
        <v>2800</v>
      </c>
      <c r="F13" s="49">
        <f t="shared" si="1"/>
        <v>19751.897661528754</v>
      </c>
      <c r="G13" s="49">
        <f t="shared" si="1"/>
        <v>830</v>
      </c>
      <c r="H13" s="49">
        <f t="shared" si="1"/>
        <v>5813.7899543379</v>
      </c>
      <c r="I13" s="49">
        <f t="shared" si="1"/>
        <v>1750</v>
      </c>
      <c r="J13" s="49">
        <f t="shared" si="1"/>
        <v>26250</v>
      </c>
      <c r="K13" s="49">
        <f t="shared" si="1"/>
        <v>1700</v>
      </c>
      <c r="L13" s="49">
        <f t="shared" si="1"/>
        <v>20400</v>
      </c>
      <c r="M13" s="49">
        <f t="shared" si="1"/>
        <v>1343.6744827586208</v>
      </c>
      <c r="N13" s="49">
        <f t="shared" si="1"/>
        <v>13638.801140782993</v>
      </c>
      <c r="O13" s="49">
        <f t="shared" si="1"/>
        <v>975</v>
      </c>
      <c r="P13" s="49">
        <f t="shared" si="1"/>
        <v>4875</v>
      </c>
      <c r="Q13" s="49">
        <f t="shared" si="1"/>
        <v>780</v>
      </c>
      <c r="R13" s="49">
        <f t="shared" si="1"/>
        <v>15600</v>
      </c>
      <c r="T13" s="48" t="s">
        <v>124</v>
      </c>
      <c r="U13" s="49">
        <f t="shared" si="1"/>
        <v>570</v>
      </c>
      <c r="V13" s="49">
        <f t="shared" si="1"/>
        <v>5700</v>
      </c>
      <c r="W13" s="49">
        <f t="shared" si="1"/>
        <v>1035</v>
      </c>
      <c r="X13" s="49">
        <f t="shared" si="1"/>
        <v>11440.262075831026</v>
      </c>
      <c r="Y13" s="49">
        <f t="shared" si="1"/>
        <v>375</v>
      </c>
      <c r="Z13" s="49">
        <f t="shared" si="1"/>
        <v>1125</v>
      </c>
      <c r="AA13" s="49">
        <f t="shared" si="1"/>
        <v>115</v>
      </c>
      <c r="AB13" s="49">
        <f t="shared" si="1"/>
        <v>345</v>
      </c>
      <c r="AC13" s="49">
        <f t="shared" si="1"/>
        <v>530</v>
      </c>
      <c r="AD13" s="49">
        <f t="shared" si="1"/>
        <v>2120</v>
      </c>
      <c r="AE13" s="49">
        <f t="shared" si="1"/>
        <v>370</v>
      </c>
      <c r="AF13" s="49">
        <f t="shared" si="1"/>
        <v>3947.8640776699026</v>
      </c>
      <c r="AG13" s="49">
        <f t="shared" si="1"/>
        <v>320</v>
      </c>
      <c r="AH13" s="49">
        <f t="shared" si="1"/>
        <v>960</v>
      </c>
      <c r="AI13" s="49">
        <f t="shared" si="1"/>
        <v>445</v>
      </c>
      <c r="AJ13" s="49">
        <f t="shared" si="1"/>
        <v>1335</v>
      </c>
      <c r="AL13" s="48" t="s">
        <v>124</v>
      </c>
      <c r="AM13" s="49">
        <f t="shared" si="1"/>
        <v>420</v>
      </c>
      <c r="AN13" s="49">
        <f t="shared" si="1"/>
        <v>4200</v>
      </c>
      <c r="AO13" s="49">
        <f t="shared" si="1"/>
        <v>455</v>
      </c>
      <c r="AP13" s="49">
        <f t="shared" si="1"/>
        <v>6825</v>
      </c>
      <c r="AQ13" s="49">
        <f t="shared" si="1"/>
        <v>630</v>
      </c>
      <c r="AR13" s="49">
        <f t="shared" si="1"/>
        <v>7471.016949152543</v>
      </c>
      <c r="AS13" s="49">
        <f t="shared" si="1"/>
        <v>475</v>
      </c>
      <c r="AT13" s="49">
        <f t="shared" si="1"/>
        <v>4750</v>
      </c>
      <c r="AU13" s="49">
        <f t="shared" si="1"/>
        <v>285</v>
      </c>
      <c r="AV13" s="49">
        <f t="shared" si="1"/>
        <v>3588.409090909091</v>
      </c>
      <c r="AW13" s="49">
        <f t="shared" si="1"/>
        <v>185</v>
      </c>
      <c r="AX13" s="49">
        <f t="shared" si="1"/>
        <v>740</v>
      </c>
      <c r="AY13" s="49">
        <f t="shared" si="1"/>
        <v>65</v>
      </c>
      <c r="AZ13" s="49">
        <f t="shared" si="1"/>
        <v>650</v>
      </c>
      <c r="BB13" s="48" t="s">
        <v>124</v>
      </c>
      <c r="BC13" s="49">
        <f t="shared" si="1"/>
        <v>149.3050847457627</v>
      </c>
      <c r="BD13" s="49">
        <f t="shared" si="1"/>
        <v>6892</v>
      </c>
      <c r="BE13" s="49">
        <f t="shared" si="1"/>
        <v>610</v>
      </c>
      <c r="BF13" s="49">
        <f t="shared" si="1"/>
        <v>9150</v>
      </c>
      <c r="BG13" s="49">
        <f t="shared" si="1"/>
        <v>520</v>
      </c>
      <c r="BH13" s="49">
        <f t="shared" si="1"/>
        <v>5200</v>
      </c>
      <c r="BI13" s="13"/>
    </row>
    <row r="14" spans="2:60" ht="15">
      <c r="B14" s="43" t="s">
        <v>24</v>
      </c>
      <c r="C14" s="44">
        <v>0</v>
      </c>
      <c r="D14" s="44">
        <v>0</v>
      </c>
      <c r="E14" s="44">
        <v>0</v>
      </c>
      <c r="F14" s="44">
        <v>0</v>
      </c>
      <c r="G14" s="44">
        <v>30</v>
      </c>
      <c r="H14" s="44">
        <f>156/25*G14</f>
        <v>187.20000000000002</v>
      </c>
      <c r="I14" s="44">
        <v>20</v>
      </c>
      <c r="J14" s="44">
        <f>131/15*I14</f>
        <v>174.66666666666666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85.20190779014308</v>
      </c>
      <c r="R14" s="44">
        <f>1200/75*75</f>
        <v>1200</v>
      </c>
      <c r="T14" s="43" t="s">
        <v>24</v>
      </c>
      <c r="U14" s="44">
        <v>0</v>
      </c>
      <c r="V14" s="44">
        <v>0</v>
      </c>
      <c r="W14" s="44">
        <v>0</v>
      </c>
      <c r="X14" s="44">
        <v>0</v>
      </c>
      <c r="Y14" s="44">
        <v>110</v>
      </c>
      <c r="Z14" s="44">
        <f>1250/100*Y14</f>
        <v>1375</v>
      </c>
      <c r="AA14" s="44">
        <v>10</v>
      </c>
      <c r="AB14" s="44">
        <f>187/15*AA14</f>
        <v>124.66666666666667</v>
      </c>
      <c r="AC14" s="44">
        <v>120</v>
      </c>
      <c r="AD14" s="44">
        <f>1250/100*AC14</f>
        <v>1500</v>
      </c>
      <c r="AE14" s="44">
        <v>100</v>
      </c>
      <c r="AF14" s="44">
        <f>1400/75*AE14</f>
        <v>1866.6666666666667</v>
      </c>
      <c r="AG14" s="44">
        <v>80</v>
      </c>
      <c r="AH14" s="44">
        <f>205/75*AG14</f>
        <v>218.66666666666669</v>
      </c>
      <c r="AI14" s="44">
        <v>60</v>
      </c>
      <c r="AJ14" s="44">
        <f>940/50*AI14</f>
        <v>1128</v>
      </c>
      <c r="AL14" s="43" t="s">
        <v>24</v>
      </c>
      <c r="AM14" s="44">
        <v>10</v>
      </c>
      <c r="AN14" s="44">
        <f>206/13*AM14</f>
        <v>158.46153846153845</v>
      </c>
      <c r="AO14" s="44">
        <v>4.139586823003908</v>
      </c>
      <c r="AP14" s="44">
        <f>181/16*AO14</f>
        <v>46.829075935231714</v>
      </c>
      <c r="AQ14" s="44">
        <v>110</v>
      </c>
      <c r="AR14" s="44">
        <f>1625/100*AQ14</f>
        <v>1787.5</v>
      </c>
      <c r="AS14" s="44">
        <v>45</v>
      </c>
      <c r="AT14" s="44">
        <f>650/40*AS14</f>
        <v>731.25</v>
      </c>
      <c r="AU14" s="44">
        <v>230</v>
      </c>
      <c r="AV14" s="44">
        <f>1994/228*AU14</f>
        <v>2011.4912280701753</v>
      </c>
      <c r="AW14" s="44">
        <v>250</v>
      </c>
      <c r="AX14" s="44">
        <f>2190/250*AW14</f>
        <v>2190</v>
      </c>
      <c r="AY14" s="44">
        <v>0</v>
      </c>
      <c r="AZ14" s="44">
        <v>0</v>
      </c>
      <c r="BB14" s="43" t="s">
        <v>24</v>
      </c>
      <c r="BC14" s="44">
        <v>155</v>
      </c>
      <c r="BD14" s="44">
        <f>2250/150*BC14</f>
        <v>2325</v>
      </c>
      <c r="BE14" s="44">
        <v>260</v>
      </c>
      <c r="BF14" s="44">
        <f>9375/250*BE14</f>
        <v>9750</v>
      </c>
      <c r="BG14" s="44">
        <v>80</v>
      </c>
      <c r="BH14" s="44">
        <f>650/75*BG14</f>
        <v>693.3333333333333</v>
      </c>
    </row>
    <row r="15" spans="2:60" ht="15">
      <c r="B15" s="43" t="s">
        <v>25</v>
      </c>
      <c r="C15" s="44">
        <v>0</v>
      </c>
      <c r="D15" s="44">
        <v>0</v>
      </c>
      <c r="E15" s="44">
        <v>5.976881233000906</v>
      </c>
      <c r="F15" s="44">
        <v>55</v>
      </c>
      <c r="G15" s="44">
        <v>50</v>
      </c>
      <c r="H15" s="44">
        <f>156/25*G15</f>
        <v>312</v>
      </c>
      <c r="I15" s="44">
        <v>45</v>
      </c>
      <c r="J15" s="44">
        <f>131/15*I15</f>
        <v>392.99999999999994</v>
      </c>
      <c r="K15" s="44">
        <v>0</v>
      </c>
      <c r="L15" s="44">
        <v>0</v>
      </c>
      <c r="M15" s="44">
        <v>5</v>
      </c>
      <c r="N15" s="44">
        <v>75</v>
      </c>
      <c r="O15" s="44">
        <v>0</v>
      </c>
      <c r="P15" s="44">
        <v>0</v>
      </c>
      <c r="Q15" s="44">
        <v>125</v>
      </c>
      <c r="R15" s="44">
        <f>1200/75*Q15</f>
        <v>2000</v>
      </c>
      <c r="T15" s="43" t="s">
        <v>25</v>
      </c>
      <c r="U15" s="44">
        <v>0</v>
      </c>
      <c r="V15" s="44">
        <v>0</v>
      </c>
      <c r="W15" s="44">
        <v>0</v>
      </c>
      <c r="X15" s="44">
        <v>0</v>
      </c>
      <c r="Y15" s="44">
        <v>80</v>
      </c>
      <c r="Z15" s="44">
        <f>1250/100*Y15</f>
        <v>1000</v>
      </c>
      <c r="AA15" s="44">
        <v>25</v>
      </c>
      <c r="AB15" s="44">
        <f>187/15*AA15</f>
        <v>311.6666666666667</v>
      </c>
      <c r="AC15" s="44">
        <v>130</v>
      </c>
      <c r="AD15" s="44">
        <f>1250/100*AC15</f>
        <v>1625</v>
      </c>
      <c r="AE15" s="44">
        <v>60</v>
      </c>
      <c r="AF15" s="44">
        <f>1400/75*AE15</f>
        <v>1120</v>
      </c>
      <c r="AG15" s="44">
        <v>60</v>
      </c>
      <c r="AH15" s="44">
        <f>205/75*AG15</f>
        <v>164</v>
      </c>
      <c r="AI15" s="44">
        <v>570</v>
      </c>
      <c r="AJ15" s="44">
        <f>940/50*AI15</f>
        <v>10716</v>
      </c>
      <c r="AL15" s="43" t="s">
        <v>25</v>
      </c>
      <c r="AM15" s="44">
        <v>15</v>
      </c>
      <c r="AN15" s="44">
        <f>206/13*AM15</f>
        <v>237.6923076923077</v>
      </c>
      <c r="AO15" s="44">
        <v>15</v>
      </c>
      <c r="AP15" s="44">
        <f>181/16*AO15</f>
        <v>169.6875</v>
      </c>
      <c r="AQ15" s="44">
        <v>100</v>
      </c>
      <c r="AR15" s="44">
        <f>1625/100*AQ15</f>
        <v>1625</v>
      </c>
      <c r="AS15" s="44">
        <v>40</v>
      </c>
      <c r="AT15" s="44">
        <f>650/40*AS15</f>
        <v>650</v>
      </c>
      <c r="AU15" s="44">
        <v>230</v>
      </c>
      <c r="AV15" s="44">
        <f>1994/228*AU15</f>
        <v>2011.4912280701753</v>
      </c>
      <c r="AW15" s="44">
        <v>120</v>
      </c>
      <c r="AX15" s="44">
        <f>2190/250*AW15</f>
        <v>1051.2</v>
      </c>
      <c r="AY15" s="44">
        <v>5</v>
      </c>
      <c r="AZ15" s="44">
        <v>50</v>
      </c>
      <c r="BB15" s="43" t="s">
        <v>25</v>
      </c>
      <c r="BC15" s="44">
        <v>30</v>
      </c>
      <c r="BD15" s="44">
        <f>2250/150*BC15</f>
        <v>450</v>
      </c>
      <c r="BE15" s="44">
        <v>170</v>
      </c>
      <c r="BF15" s="44">
        <f>9375/250*BE15</f>
        <v>6375</v>
      </c>
      <c r="BG15" s="44">
        <v>70</v>
      </c>
      <c r="BH15" s="44">
        <f>650/75*BG15</f>
        <v>606.6666666666666</v>
      </c>
    </row>
    <row r="16" spans="2:60" ht="15">
      <c r="B16" s="43" t="s">
        <v>26</v>
      </c>
      <c r="C16" s="44">
        <v>0</v>
      </c>
      <c r="D16" s="44">
        <v>0</v>
      </c>
      <c r="E16" s="44">
        <v>0</v>
      </c>
      <c r="F16" s="44">
        <v>0</v>
      </c>
      <c r="G16" s="44">
        <v>180</v>
      </c>
      <c r="H16" s="44">
        <f>156/25*G16</f>
        <v>1123.2</v>
      </c>
      <c r="I16" s="44">
        <v>350</v>
      </c>
      <c r="J16" s="44">
        <f>131/15*I16</f>
        <v>3056.6666666666665</v>
      </c>
      <c r="K16" s="44">
        <v>10</v>
      </c>
      <c r="L16" s="44">
        <v>0</v>
      </c>
      <c r="M16" s="44">
        <v>5</v>
      </c>
      <c r="N16" s="44">
        <v>70</v>
      </c>
      <c r="O16" s="44">
        <v>0</v>
      </c>
      <c r="P16" s="44">
        <v>0</v>
      </c>
      <c r="Q16" s="44">
        <v>10</v>
      </c>
      <c r="R16" s="44">
        <f>1200/75*Q16</f>
        <v>160</v>
      </c>
      <c r="T16" s="43" t="s">
        <v>26</v>
      </c>
      <c r="U16" s="44">
        <v>100</v>
      </c>
      <c r="V16" s="44">
        <v>1000</v>
      </c>
      <c r="W16" s="44">
        <v>0</v>
      </c>
      <c r="X16" s="44">
        <v>0</v>
      </c>
      <c r="Y16" s="44">
        <v>600</v>
      </c>
      <c r="Z16" s="44">
        <f>1250/100*Y16</f>
        <v>7500</v>
      </c>
      <c r="AA16" s="44">
        <v>50</v>
      </c>
      <c r="AB16" s="44">
        <f>187/15*AA16</f>
        <v>623.3333333333334</v>
      </c>
      <c r="AC16" s="44">
        <v>530</v>
      </c>
      <c r="AD16" s="44">
        <f>1250/100*AC16</f>
        <v>6625</v>
      </c>
      <c r="AE16" s="44">
        <v>400</v>
      </c>
      <c r="AF16" s="44">
        <f>1400/75*AE16</f>
        <v>7466.666666666667</v>
      </c>
      <c r="AG16" s="44">
        <v>370</v>
      </c>
      <c r="AH16" s="44">
        <f>205/75*AG16</f>
        <v>1011.3333333333334</v>
      </c>
      <c r="AI16" s="44">
        <v>500</v>
      </c>
      <c r="AJ16" s="44">
        <f>940/50*AI16</f>
        <v>9400</v>
      </c>
      <c r="AL16" s="43" t="s">
        <v>26</v>
      </c>
      <c r="AM16" s="44">
        <v>500</v>
      </c>
      <c r="AN16" s="44">
        <f>206/13*AM16</f>
        <v>7923.076923076924</v>
      </c>
      <c r="AO16" s="44">
        <v>579.5421552205472</v>
      </c>
      <c r="AP16" s="44">
        <f>181/16*AO16</f>
        <v>6556.0706309324405</v>
      </c>
      <c r="AQ16" s="44">
        <v>525</v>
      </c>
      <c r="AR16" s="44">
        <f>1625/100*AQ16</f>
        <v>8531.25</v>
      </c>
      <c r="AS16" s="44">
        <v>100</v>
      </c>
      <c r="AT16" s="44">
        <f>650/40*AS16</f>
        <v>1625</v>
      </c>
      <c r="AU16" s="44">
        <v>425</v>
      </c>
      <c r="AV16" s="44">
        <f>1994/228*AU16</f>
        <v>3716.8859649122805</v>
      </c>
      <c r="AW16" s="44">
        <v>190</v>
      </c>
      <c r="AX16" s="44">
        <f>2190/250*AW16</f>
        <v>1664.3999999999999</v>
      </c>
      <c r="AY16" s="44">
        <v>50</v>
      </c>
      <c r="AZ16" s="44">
        <v>500</v>
      </c>
      <c r="BB16" s="43" t="s">
        <v>26</v>
      </c>
      <c r="BC16" s="44">
        <v>60</v>
      </c>
      <c r="BD16" s="44">
        <f>2250/150*BC16</f>
        <v>900</v>
      </c>
      <c r="BE16" s="44">
        <v>480</v>
      </c>
      <c r="BF16" s="44">
        <f>9375/250*BE16</f>
        <v>18000</v>
      </c>
      <c r="BG16" s="44">
        <v>100</v>
      </c>
      <c r="BH16" s="44">
        <f>650/75*BG16</f>
        <v>866.6666666666666</v>
      </c>
    </row>
    <row r="17" spans="2:61" ht="15">
      <c r="B17" s="48" t="s">
        <v>125</v>
      </c>
      <c r="C17" s="49">
        <f>SUM(C14:C16)</f>
        <v>0</v>
      </c>
      <c r="D17" s="49">
        <f aca="true" t="shared" si="2" ref="D17:BH17">SUM(D14:D16)</f>
        <v>0</v>
      </c>
      <c r="E17" s="49">
        <f t="shared" si="2"/>
        <v>5.976881233000906</v>
      </c>
      <c r="F17" s="49">
        <f t="shared" si="2"/>
        <v>55</v>
      </c>
      <c r="G17" s="50">
        <f t="shared" si="2"/>
        <v>260</v>
      </c>
      <c r="H17" s="51">
        <f t="shared" si="2"/>
        <v>1622.4</v>
      </c>
      <c r="I17" s="49">
        <f t="shared" si="2"/>
        <v>415</v>
      </c>
      <c r="J17" s="49">
        <f t="shared" si="2"/>
        <v>3624.333333333333</v>
      </c>
      <c r="K17" s="49">
        <f t="shared" si="2"/>
        <v>10</v>
      </c>
      <c r="L17" s="49">
        <f t="shared" si="2"/>
        <v>0</v>
      </c>
      <c r="M17" s="49">
        <f t="shared" si="2"/>
        <v>10</v>
      </c>
      <c r="N17" s="49">
        <f t="shared" si="2"/>
        <v>145</v>
      </c>
      <c r="O17" s="49">
        <f t="shared" si="2"/>
        <v>0</v>
      </c>
      <c r="P17" s="49">
        <f t="shared" si="2"/>
        <v>0</v>
      </c>
      <c r="Q17" s="49">
        <f t="shared" si="2"/>
        <v>220.20190779014308</v>
      </c>
      <c r="R17" s="49">
        <f t="shared" si="2"/>
        <v>3360</v>
      </c>
      <c r="T17" s="48" t="s">
        <v>125</v>
      </c>
      <c r="U17" s="49">
        <f t="shared" si="2"/>
        <v>100</v>
      </c>
      <c r="V17" s="49">
        <f t="shared" si="2"/>
        <v>1000</v>
      </c>
      <c r="W17" s="49">
        <f t="shared" si="2"/>
        <v>0</v>
      </c>
      <c r="X17" s="49">
        <f t="shared" si="2"/>
        <v>0</v>
      </c>
      <c r="Y17" s="49">
        <f t="shared" si="2"/>
        <v>790</v>
      </c>
      <c r="Z17" s="49">
        <f t="shared" si="2"/>
        <v>9875</v>
      </c>
      <c r="AA17" s="49">
        <f t="shared" si="2"/>
        <v>85</v>
      </c>
      <c r="AB17" s="49">
        <f t="shared" si="2"/>
        <v>1059.6666666666667</v>
      </c>
      <c r="AC17" s="49">
        <f t="shared" si="2"/>
        <v>780</v>
      </c>
      <c r="AD17" s="49">
        <f t="shared" si="2"/>
        <v>9750</v>
      </c>
      <c r="AE17" s="49">
        <f t="shared" si="2"/>
        <v>560</v>
      </c>
      <c r="AF17" s="49">
        <f t="shared" si="2"/>
        <v>10453.333333333334</v>
      </c>
      <c r="AG17" s="49">
        <f t="shared" si="2"/>
        <v>510</v>
      </c>
      <c r="AH17" s="49">
        <f t="shared" si="2"/>
        <v>1394</v>
      </c>
      <c r="AI17" s="49">
        <f t="shared" si="2"/>
        <v>1130</v>
      </c>
      <c r="AJ17" s="49">
        <f t="shared" si="2"/>
        <v>21244</v>
      </c>
      <c r="AL17" s="48" t="s">
        <v>125</v>
      </c>
      <c r="AM17" s="49">
        <f t="shared" si="2"/>
        <v>525</v>
      </c>
      <c r="AN17" s="49">
        <f t="shared" si="2"/>
        <v>8319.23076923077</v>
      </c>
      <c r="AO17" s="49">
        <f t="shared" si="2"/>
        <v>598.6817420435511</v>
      </c>
      <c r="AP17" s="49">
        <f t="shared" si="2"/>
        <v>6772.587206867673</v>
      </c>
      <c r="AQ17" s="49">
        <f t="shared" si="2"/>
        <v>735</v>
      </c>
      <c r="AR17" s="49">
        <f t="shared" si="2"/>
        <v>11943.75</v>
      </c>
      <c r="AS17" s="49">
        <f t="shared" si="2"/>
        <v>185</v>
      </c>
      <c r="AT17" s="49">
        <f t="shared" si="2"/>
        <v>3006.25</v>
      </c>
      <c r="AU17" s="49">
        <f t="shared" si="2"/>
        <v>885</v>
      </c>
      <c r="AV17" s="49">
        <f t="shared" si="2"/>
        <v>7739.868421052632</v>
      </c>
      <c r="AW17" s="49">
        <f t="shared" si="2"/>
        <v>560</v>
      </c>
      <c r="AX17" s="49">
        <f t="shared" si="2"/>
        <v>4905.599999999999</v>
      </c>
      <c r="AY17" s="49">
        <f t="shared" si="2"/>
        <v>55</v>
      </c>
      <c r="AZ17" s="49">
        <f t="shared" si="2"/>
        <v>550</v>
      </c>
      <c r="BB17" s="48" t="s">
        <v>125</v>
      </c>
      <c r="BC17" s="49">
        <f t="shared" si="2"/>
        <v>245</v>
      </c>
      <c r="BD17" s="49">
        <f t="shared" si="2"/>
        <v>3675</v>
      </c>
      <c r="BE17" s="49">
        <f t="shared" si="2"/>
        <v>910</v>
      </c>
      <c r="BF17" s="49">
        <f t="shared" si="2"/>
        <v>34125</v>
      </c>
      <c r="BG17" s="49">
        <f t="shared" si="2"/>
        <v>250</v>
      </c>
      <c r="BH17" s="49">
        <f t="shared" si="2"/>
        <v>2166.6666666666665</v>
      </c>
      <c r="BI17" s="13"/>
    </row>
    <row r="18" spans="2:60" ht="15">
      <c r="B18" s="43" t="s">
        <v>28</v>
      </c>
      <c r="C18" s="44">
        <v>50</v>
      </c>
      <c r="D18" s="44">
        <f>250/27*50</f>
        <v>462.962962962963</v>
      </c>
      <c r="E18" s="44">
        <v>50</v>
      </c>
      <c r="F18" s="44">
        <v>366</v>
      </c>
      <c r="G18" s="44">
        <v>40</v>
      </c>
      <c r="H18" s="44">
        <f>336/36*G18</f>
        <v>373.33333333333337</v>
      </c>
      <c r="I18" s="44">
        <v>120</v>
      </c>
      <c r="J18" s="44">
        <f>1817/112*I18</f>
        <v>1946.7857142857142</v>
      </c>
      <c r="K18" s="44">
        <v>60</v>
      </c>
      <c r="L18" s="44">
        <v>1554.2244577590993</v>
      </c>
      <c r="M18" s="44">
        <v>75</v>
      </c>
      <c r="N18" s="44">
        <f>1550/72*M18</f>
        <v>1614.5833333333335</v>
      </c>
      <c r="O18" s="44">
        <v>110</v>
      </c>
      <c r="P18" s="44">
        <f>225/109*O18</f>
        <v>227.0642201834862</v>
      </c>
      <c r="Q18" s="44">
        <v>4.7334393216746165</v>
      </c>
      <c r="R18" s="44">
        <f>90/5*Q18</f>
        <v>85.2019077901431</v>
      </c>
      <c r="T18" s="43" t="s">
        <v>28</v>
      </c>
      <c r="U18" s="44">
        <v>0</v>
      </c>
      <c r="V18" s="44">
        <v>0</v>
      </c>
      <c r="W18" s="44">
        <v>30</v>
      </c>
      <c r="X18" s="44">
        <v>530.815962603878</v>
      </c>
      <c r="Y18" s="44">
        <v>200</v>
      </c>
      <c r="Z18" s="44">
        <v>0</v>
      </c>
      <c r="AA18" s="44">
        <v>10</v>
      </c>
      <c r="AB18" s="44">
        <f>90/9*AA18</f>
        <v>100</v>
      </c>
      <c r="AC18" s="44">
        <v>180</v>
      </c>
      <c r="AD18" s="44">
        <f>2101/171*AC18</f>
        <v>2211.578947368421</v>
      </c>
      <c r="AE18" s="44">
        <v>3.9242636746143056</v>
      </c>
      <c r="AF18" s="44">
        <f>80/8*AE18</f>
        <v>39.242636746143056</v>
      </c>
      <c r="AG18" s="44">
        <v>90</v>
      </c>
      <c r="AH18" s="44">
        <f>1161/83*AG18</f>
        <v>1258.9156626506024</v>
      </c>
      <c r="AI18" s="44">
        <v>90</v>
      </c>
      <c r="AJ18" s="44">
        <f>968/86*AI18</f>
        <v>1013.0232558139535</v>
      </c>
      <c r="AL18" s="43" t="s">
        <v>28</v>
      </c>
      <c r="AM18" s="44">
        <v>12.602948652770715</v>
      </c>
      <c r="AN18" s="44">
        <f>90/6*AM18</f>
        <v>189.04422979156072</v>
      </c>
      <c r="AO18" s="44">
        <v>100</v>
      </c>
      <c r="AP18" s="44">
        <f>1584/92*AO18</f>
        <v>1721.7391304347825</v>
      </c>
      <c r="AQ18" s="44">
        <v>175</v>
      </c>
      <c r="AR18" s="44">
        <f>2905/165*AQ18</f>
        <v>3081.060606060606</v>
      </c>
      <c r="AS18" s="44">
        <v>5</v>
      </c>
      <c r="AT18" s="44">
        <v>50</v>
      </c>
      <c r="AU18" s="44">
        <v>170</v>
      </c>
      <c r="AV18" s="44">
        <f>1328/166*AU18</f>
        <v>1360</v>
      </c>
      <c r="AW18" s="44">
        <v>225</v>
      </c>
      <c r="AX18" s="44">
        <f>2691/224*AW18</f>
        <v>2703.013392857143</v>
      </c>
      <c r="AY18" s="44">
        <v>0</v>
      </c>
      <c r="AZ18" s="44">
        <v>0</v>
      </c>
      <c r="BB18" s="43" t="s">
        <v>28</v>
      </c>
      <c r="BC18" s="44">
        <v>0</v>
      </c>
      <c r="BD18" s="44">
        <v>0</v>
      </c>
      <c r="BE18" s="44">
        <v>280</v>
      </c>
      <c r="BF18" s="44">
        <f>7317/274*BE18</f>
        <v>7477.226277372262</v>
      </c>
      <c r="BG18" s="44">
        <v>15</v>
      </c>
      <c r="BH18" s="44">
        <f>141/12*BG18</f>
        <v>176.25</v>
      </c>
    </row>
    <row r="19" spans="2:60" ht="15">
      <c r="B19" s="43" t="s">
        <v>30</v>
      </c>
      <c r="C19" s="44">
        <v>0</v>
      </c>
      <c r="D19" s="44">
        <v>0</v>
      </c>
      <c r="E19" s="44">
        <v>0</v>
      </c>
      <c r="F19" s="44">
        <v>0</v>
      </c>
      <c r="G19" s="44">
        <v>35</v>
      </c>
      <c r="H19" s="44">
        <f>336/36*G19</f>
        <v>326.6666666666667</v>
      </c>
      <c r="I19" s="52">
        <v>80</v>
      </c>
      <c r="J19" s="44">
        <f>1817/112*I19</f>
        <v>1297.8571428571427</v>
      </c>
      <c r="K19" s="44">
        <v>20</v>
      </c>
      <c r="L19" s="44">
        <v>0</v>
      </c>
      <c r="M19" s="44">
        <v>15</v>
      </c>
      <c r="N19" s="44">
        <f>1550/72*M19</f>
        <v>322.9166666666667</v>
      </c>
      <c r="O19" s="44">
        <v>10</v>
      </c>
      <c r="P19" s="44">
        <f>225/109*O19</f>
        <v>20.642201834862384</v>
      </c>
      <c r="Q19" s="44">
        <v>0</v>
      </c>
      <c r="R19" s="44">
        <f>90/5*Q19</f>
        <v>0</v>
      </c>
      <c r="T19" s="43" t="s">
        <v>30</v>
      </c>
      <c r="U19" s="44">
        <v>0</v>
      </c>
      <c r="V19" s="44">
        <v>0</v>
      </c>
      <c r="W19" s="44">
        <v>5</v>
      </c>
      <c r="X19" s="44">
        <v>0</v>
      </c>
      <c r="Y19" s="44">
        <v>170</v>
      </c>
      <c r="Z19" s="44">
        <v>0</v>
      </c>
      <c r="AA19" s="44">
        <v>25</v>
      </c>
      <c r="AB19" s="44">
        <f>90/9*AA19</f>
        <v>250</v>
      </c>
      <c r="AC19" s="44">
        <v>140</v>
      </c>
      <c r="AD19" s="44">
        <f>2101/171*AC19</f>
        <v>1720.1169590643274</v>
      </c>
      <c r="AE19" s="44">
        <v>10</v>
      </c>
      <c r="AF19" s="44">
        <f>80/8*AE19</f>
        <v>100</v>
      </c>
      <c r="AG19" s="44">
        <v>60</v>
      </c>
      <c r="AH19" s="44">
        <f>1161/83*AG19</f>
        <v>839.277108433735</v>
      </c>
      <c r="AI19" s="44">
        <v>70</v>
      </c>
      <c r="AJ19" s="44">
        <f>968/86*AI19</f>
        <v>787.9069767441861</v>
      </c>
      <c r="AL19" s="43" t="s">
        <v>30</v>
      </c>
      <c r="AM19" s="44">
        <v>0</v>
      </c>
      <c r="AN19" s="44">
        <f>90/6*AM19</f>
        <v>0</v>
      </c>
      <c r="AO19" s="44">
        <v>70</v>
      </c>
      <c r="AP19" s="44">
        <f>1584/92*AO19</f>
        <v>1205.2173913043478</v>
      </c>
      <c r="AQ19" s="44">
        <v>200</v>
      </c>
      <c r="AR19" s="44">
        <f>2905/165*AQ19</f>
        <v>3521.212121212121</v>
      </c>
      <c r="AS19" s="44">
        <v>0</v>
      </c>
      <c r="AT19" s="44">
        <v>0</v>
      </c>
      <c r="AU19" s="44">
        <v>50</v>
      </c>
      <c r="AV19" s="44">
        <f>1328/166*AU19</f>
        <v>400</v>
      </c>
      <c r="AW19" s="44">
        <v>50</v>
      </c>
      <c r="AX19" s="44">
        <f>2691/224*AW19</f>
        <v>600.6696428571429</v>
      </c>
      <c r="AY19" s="44">
        <v>20</v>
      </c>
      <c r="AZ19" s="44">
        <v>160</v>
      </c>
      <c r="BB19" s="43" t="s">
        <v>30</v>
      </c>
      <c r="BC19" s="44">
        <v>0</v>
      </c>
      <c r="BD19" s="44">
        <v>0</v>
      </c>
      <c r="BE19" s="44">
        <v>220</v>
      </c>
      <c r="BF19" s="44">
        <f>7317/274*BE19</f>
        <v>5874.963503649635</v>
      </c>
      <c r="BG19" s="44">
        <v>10</v>
      </c>
      <c r="BH19" s="44">
        <f>141/12*BG19</f>
        <v>117.5</v>
      </c>
    </row>
    <row r="20" spans="2:60" ht="15">
      <c r="B20" s="43" t="s">
        <v>31</v>
      </c>
      <c r="C20" s="44">
        <v>11.7071881606765</v>
      </c>
      <c r="D20" s="44">
        <f>15*12</f>
        <v>180</v>
      </c>
      <c r="E20" s="44">
        <v>1.1953762466001814</v>
      </c>
      <c r="F20" s="44">
        <v>6.9406584107492515</v>
      </c>
      <c r="G20" s="44">
        <v>50</v>
      </c>
      <c r="H20" s="44">
        <f>336/36*G20</f>
        <v>466.6666666666667</v>
      </c>
      <c r="I20" s="44">
        <v>50</v>
      </c>
      <c r="J20" s="44">
        <f>1817/112*I20</f>
        <v>811.1607142857142</v>
      </c>
      <c r="K20" s="44">
        <v>30</v>
      </c>
      <c r="L20" s="44">
        <v>101.91635788584257</v>
      </c>
      <c r="M20" s="44">
        <v>20</v>
      </c>
      <c r="N20" s="44">
        <f>1550/72*M20</f>
        <v>430.55555555555554</v>
      </c>
      <c r="O20" s="44">
        <v>10</v>
      </c>
      <c r="P20" s="44">
        <f>225/109*O20</f>
        <v>20.642201834862384</v>
      </c>
      <c r="Q20" s="44">
        <v>0</v>
      </c>
      <c r="R20" s="44">
        <f>90/5*Q20</f>
        <v>0</v>
      </c>
      <c r="T20" s="43" t="s">
        <v>31</v>
      </c>
      <c r="U20" s="44">
        <v>0</v>
      </c>
      <c r="V20" s="44">
        <v>0</v>
      </c>
      <c r="W20" s="44">
        <v>0</v>
      </c>
      <c r="X20" s="44">
        <v>0</v>
      </c>
      <c r="Y20" s="44">
        <v>50</v>
      </c>
      <c r="Z20" s="44">
        <v>0</v>
      </c>
      <c r="AA20" s="44">
        <v>25</v>
      </c>
      <c r="AB20" s="44">
        <f>90/9*AA20</f>
        <v>250</v>
      </c>
      <c r="AC20" s="44">
        <v>50</v>
      </c>
      <c r="AD20" s="44">
        <f>2101/171*AC20</f>
        <v>614.327485380117</v>
      </c>
      <c r="AE20" s="44">
        <v>5</v>
      </c>
      <c r="AF20" s="44">
        <f>80/8*AE20</f>
        <v>50</v>
      </c>
      <c r="AG20" s="44">
        <v>30</v>
      </c>
      <c r="AH20" s="44">
        <f>1161/83*AG20</f>
        <v>419.6385542168675</v>
      </c>
      <c r="AI20" s="44">
        <v>30</v>
      </c>
      <c r="AJ20" s="44">
        <f>968/86*AI20</f>
        <v>337.6744186046512</v>
      </c>
      <c r="AL20" s="43" t="s">
        <v>31</v>
      </c>
      <c r="AM20" s="44">
        <v>2.5205897305541436</v>
      </c>
      <c r="AN20" s="44">
        <f>90/6*AM20</f>
        <v>37.808845958312155</v>
      </c>
      <c r="AO20" s="44">
        <v>40</v>
      </c>
      <c r="AP20" s="44">
        <f>1584/92*AO20</f>
        <v>688.695652173913</v>
      </c>
      <c r="AQ20" s="44">
        <v>70</v>
      </c>
      <c r="AR20" s="44">
        <f>2905/165*AQ20</f>
        <v>1232.4242424242425</v>
      </c>
      <c r="AS20" s="44">
        <v>0</v>
      </c>
      <c r="AT20" s="44">
        <v>0</v>
      </c>
      <c r="AU20" s="44">
        <v>45</v>
      </c>
      <c r="AV20" s="44">
        <f>1328/166*AU20</f>
        <v>360</v>
      </c>
      <c r="AW20" s="44">
        <v>70</v>
      </c>
      <c r="AX20" s="44">
        <f>2691/224*AW20</f>
        <v>840.9375</v>
      </c>
      <c r="AY20" s="44">
        <v>40</v>
      </c>
      <c r="AZ20" s="44">
        <v>375</v>
      </c>
      <c r="BB20" s="43" t="s">
        <v>31</v>
      </c>
      <c r="BC20" s="44">
        <v>0</v>
      </c>
      <c r="BD20" s="44">
        <v>0</v>
      </c>
      <c r="BE20" s="44">
        <v>100</v>
      </c>
      <c r="BF20" s="44">
        <f>7317/274*BE20</f>
        <v>2670.4379562043796</v>
      </c>
      <c r="BG20" s="44">
        <v>30</v>
      </c>
      <c r="BH20" s="44">
        <f>141/12*BG20</f>
        <v>352.5</v>
      </c>
    </row>
    <row r="21" spans="2:60" ht="15">
      <c r="B21" s="43" t="s">
        <v>32</v>
      </c>
      <c r="C21" s="44">
        <v>0</v>
      </c>
      <c r="D21" s="44">
        <v>0</v>
      </c>
      <c r="E21" s="44">
        <v>40</v>
      </c>
      <c r="F21" s="44">
        <v>280</v>
      </c>
      <c r="G21" s="44">
        <v>80</v>
      </c>
      <c r="H21" s="44">
        <f>336/36*G21</f>
        <v>746.6666666666667</v>
      </c>
      <c r="I21" s="44">
        <v>80</v>
      </c>
      <c r="J21" s="44">
        <f>1817/112*I21</f>
        <v>1297.8571428571427</v>
      </c>
      <c r="K21" s="44">
        <v>65</v>
      </c>
      <c r="L21" s="44">
        <v>687.9354157294374</v>
      </c>
      <c r="M21" s="44">
        <v>10</v>
      </c>
      <c r="N21" s="44">
        <f>1550/72*M21</f>
        <v>215.27777777777777</v>
      </c>
      <c r="O21" s="44">
        <v>40</v>
      </c>
      <c r="P21" s="44">
        <f>225/109*O21</f>
        <v>82.56880733944953</v>
      </c>
      <c r="Q21" s="44">
        <v>5</v>
      </c>
      <c r="R21" s="44">
        <f>90/5*Q21</f>
        <v>90</v>
      </c>
      <c r="T21" s="43" t="s">
        <v>32</v>
      </c>
      <c r="U21" s="44">
        <v>0</v>
      </c>
      <c r="V21" s="44">
        <v>0</v>
      </c>
      <c r="W21" s="44">
        <v>0</v>
      </c>
      <c r="X21" s="44">
        <v>0</v>
      </c>
      <c r="Y21" s="44">
        <v>120</v>
      </c>
      <c r="Z21" s="44">
        <v>0</v>
      </c>
      <c r="AA21" s="44">
        <v>50</v>
      </c>
      <c r="AB21" s="44">
        <f>90/9*AA21</f>
        <v>500</v>
      </c>
      <c r="AC21" s="44">
        <v>110</v>
      </c>
      <c r="AD21" s="44">
        <f>2101/171*AC21</f>
        <v>1351.5204678362572</v>
      </c>
      <c r="AE21" s="44">
        <v>20</v>
      </c>
      <c r="AF21" s="44">
        <f>80/8*AE21</f>
        <v>200</v>
      </c>
      <c r="AG21" s="44">
        <v>60</v>
      </c>
      <c r="AH21" s="44">
        <f>1161/83*AG21</f>
        <v>839.277108433735</v>
      </c>
      <c r="AI21" s="44">
        <v>70</v>
      </c>
      <c r="AJ21" s="44">
        <f>968/86*AI21</f>
        <v>787.9069767441861</v>
      </c>
      <c r="AL21" s="43" t="s">
        <v>32</v>
      </c>
      <c r="AM21" s="44">
        <v>10</v>
      </c>
      <c r="AN21" s="44">
        <f>90/6*AM21</f>
        <v>150</v>
      </c>
      <c r="AO21" s="44">
        <v>90</v>
      </c>
      <c r="AP21" s="44">
        <f>1584/92*AO21</f>
        <v>1549.5652173913043</v>
      </c>
      <c r="AQ21" s="44">
        <v>160</v>
      </c>
      <c r="AR21" s="44">
        <f>2905/165*AQ21</f>
        <v>2816.969696969697</v>
      </c>
      <c r="AS21" s="44">
        <v>0</v>
      </c>
      <c r="AT21" s="44">
        <v>0</v>
      </c>
      <c r="AU21" s="44">
        <v>65</v>
      </c>
      <c r="AV21" s="44">
        <f>1328/166*AU21</f>
        <v>520</v>
      </c>
      <c r="AW21" s="44">
        <v>60</v>
      </c>
      <c r="AX21" s="44">
        <f>2691/224*AW21</f>
        <v>720.8035714285714</v>
      </c>
      <c r="AY21" s="44">
        <v>35</v>
      </c>
      <c r="AZ21" s="44">
        <v>350</v>
      </c>
      <c r="BB21" s="43" t="s">
        <v>32</v>
      </c>
      <c r="BC21" s="44">
        <v>0</v>
      </c>
      <c r="BD21" s="44">
        <v>0</v>
      </c>
      <c r="BE21" s="44">
        <v>64.86227758007118</v>
      </c>
      <c r="BF21" s="44">
        <f>7317/274*BE21</f>
        <v>1732.1068797568641</v>
      </c>
      <c r="BG21" s="44">
        <v>6.509468540012217</v>
      </c>
      <c r="BH21" s="44">
        <f>141/12*BG21</f>
        <v>76.48625534514355</v>
      </c>
    </row>
    <row r="22" spans="2:60" ht="15">
      <c r="B22" s="43" t="s">
        <v>34</v>
      </c>
      <c r="C22" s="44">
        <v>0</v>
      </c>
      <c r="D22" s="44">
        <v>0</v>
      </c>
      <c r="E22" s="44">
        <v>0</v>
      </c>
      <c r="F22" s="44">
        <v>0</v>
      </c>
      <c r="G22" s="44">
        <v>45</v>
      </c>
      <c r="H22" s="44">
        <f>336/36*G22</f>
        <v>420</v>
      </c>
      <c r="I22" s="44">
        <v>50</v>
      </c>
      <c r="J22" s="44">
        <f>1817/112*I22</f>
        <v>811.1607142857142</v>
      </c>
      <c r="K22" s="44">
        <v>25</v>
      </c>
      <c r="L22" s="44">
        <v>0</v>
      </c>
      <c r="M22" s="44">
        <v>20</v>
      </c>
      <c r="N22" s="44">
        <f>1550/72*M22</f>
        <v>430.55555555555554</v>
      </c>
      <c r="O22" s="44">
        <v>20</v>
      </c>
      <c r="P22" s="44">
        <f>225/109*O22</f>
        <v>41.28440366972477</v>
      </c>
      <c r="Q22" s="44">
        <v>0</v>
      </c>
      <c r="R22" s="44">
        <f>90/5*Q22</f>
        <v>0</v>
      </c>
      <c r="T22" s="43" t="s">
        <v>34</v>
      </c>
      <c r="U22" s="44">
        <v>0</v>
      </c>
      <c r="V22" s="44">
        <v>0</v>
      </c>
      <c r="W22" s="44">
        <v>0</v>
      </c>
      <c r="X22" s="44">
        <v>0</v>
      </c>
      <c r="Y22" s="44">
        <v>90</v>
      </c>
      <c r="Z22" s="44">
        <v>0</v>
      </c>
      <c r="AA22" s="44">
        <v>40</v>
      </c>
      <c r="AB22" s="44">
        <f>90/9*AA22</f>
        <v>400</v>
      </c>
      <c r="AC22" s="44">
        <v>100</v>
      </c>
      <c r="AD22" s="44">
        <v>0</v>
      </c>
      <c r="AE22" s="44">
        <v>0</v>
      </c>
      <c r="AF22" s="44">
        <f>80/8*AE22</f>
        <v>0</v>
      </c>
      <c r="AG22" s="44">
        <v>50</v>
      </c>
      <c r="AH22" s="44">
        <f>1161/83*AG22</f>
        <v>699.3975903614457</v>
      </c>
      <c r="AI22" s="44">
        <v>50</v>
      </c>
      <c r="AJ22" s="44">
        <f>968/86*AI22</f>
        <v>562.7906976744187</v>
      </c>
      <c r="AL22" s="43" t="s">
        <v>34</v>
      </c>
      <c r="AM22" s="44">
        <v>0</v>
      </c>
      <c r="AN22" s="44">
        <f>90/6*AM22</f>
        <v>0</v>
      </c>
      <c r="AO22" s="44">
        <v>55</v>
      </c>
      <c r="AP22" s="44">
        <f>1584/92*AO22</f>
        <v>946.9565217391304</v>
      </c>
      <c r="AQ22" s="44">
        <v>160</v>
      </c>
      <c r="AR22" s="44">
        <f>2905/165*AQ22</f>
        <v>2816.969696969697</v>
      </c>
      <c r="AS22" s="44">
        <v>0</v>
      </c>
      <c r="AT22" s="44">
        <v>0</v>
      </c>
      <c r="AU22" s="44">
        <v>200</v>
      </c>
      <c r="AV22" s="44">
        <f>1328/166*AU22</f>
        <v>1600</v>
      </c>
      <c r="AW22" s="44">
        <v>40</v>
      </c>
      <c r="AX22" s="44">
        <f>2691/224*AW22</f>
        <v>480.53571428571433</v>
      </c>
      <c r="AY22" s="44">
        <v>0</v>
      </c>
      <c r="AZ22" s="44">
        <v>0</v>
      </c>
      <c r="BB22" s="43" t="s">
        <v>34</v>
      </c>
      <c r="BC22" s="44">
        <v>0</v>
      </c>
      <c r="BD22" s="44">
        <v>0</v>
      </c>
      <c r="BE22" s="44">
        <v>0</v>
      </c>
      <c r="BF22" s="44">
        <f>7317/274*BE22</f>
        <v>0</v>
      </c>
      <c r="BG22" s="44">
        <v>15</v>
      </c>
      <c r="BH22" s="44">
        <f>141/12*BG22</f>
        <v>176.25</v>
      </c>
    </row>
    <row r="23" spans="2:61" ht="15">
      <c r="B23" s="48" t="s">
        <v>126</v>
      </c>
      <c r="C23" s="49">
        <f>SUM(C18:C22)</f>
        <v>61.7071881606765</v>
      </c>
      <c r="D23" s="49">
        <f aca="true" t="shared" si="3" ref="D23:BH23">SUM(D18:D22)</f>
        <v>642.962962962963</v>
      </c>
      <c r="E23" s="49">
        <f t="shared" si="3"/>
        <v>91.19537624660018</v>
      </c>
      <c r="F23" s="49">
        <f t="shared" si="3"/>
        <v>652.9406584107493</v>
      </c>
      <c r="G23" s="49">
        <f t="shared" si="3"/>
        <v>250</v>
      </c>
      <c r="H23" s="49">
        <f t="shared" si="3"/>
        <v>2333.3333333333335</v>
      </c>
      <c r="I23" s="49">
        <f t="shared" si="3"/>
        <v>380</v>
      </c>
      <c r="J23" s="49">
        <f t="shared" si="3"/>
        <v>6164.8214285714275</v>
      </c>
      <c r="K23" s="49">
        <f t="shared" si="3"/>
        <v>200</v>
      </c>
      <c r="L23" s="49">
        <f t="shared" si="3"/>
        <v>2344.0762313743794</v>
      </c>
      <c r="M23" s="49">
        <f t="shared" si="3"/>
        <v>140</v>
      </c>
      <c r="N23" s="49">
        <f t="shared" si="3"/>
        <v>3013.888888888889</v>
      </c>
      <c r="O23" s="49">
        <f t="shared" si="3"/>
        <v>190</v>
      </c>
      <c r="P23" s="49">
        <f t="shared" si="3"/>
        <v>392.2018348623853</v>
      </c>
      <c r="Q23" s="49">
        <f t="shared" si="3"/>
        <v>9.733439321674616</v>
      </c>
      <c r="R23" s="49">
        <f t="shared" si="3"/>
        <v>175.20190779014308</v>
      </c>
      <c r="T23" s="48" t="s">
        <v>126</v>
      </c>
      <c r="U23" s="49">
        <f t="shared" si="3"/>
        <v>0</v>
      </c>
      <c r="V23" s="49">
        <f t="shared" si="3"/>
        <v>0</v>
      </c>
      <c r="W23" s="49">
        <f t="shared" si="3"/>
        <v>35</v>
      </c>
      <c r="X23" s="49">
        <f t="shared" si="3"/>
        <v>530.815962603878</v>
      </c>
      <c r="Y23" s="49">
        <f t="shared" si="3"/>
        <v>630</v>
      </c>
      <c r="Z23" s="49">
        <f t="shared" si="3"/>
        <v>0</v>
      </c>
      <c r="AA23" s="49">
        <f t="shared" si="3"/>
        <v>150</v>
      </c>
      <c r="AB23" s="49">
        <f t="shared" si="3"/>
        <v>1500</v>
      </c>
      <c r="AC23" s="49">
        <f t="shared" si="3"/>
        <v>580</v>
      </c>
      <c r="AD23" s="49">
        <f t="shared" si="3"/>
        <v>5897.543859649122</v>
      </c>
      <c r="AE23" s="49">
        <f t="shared" si="3"/>
        <v>38.92426367461431</v>
      </c>
      <c r="AF23" s="49">
        <f t="shared" si="3"/>
        <v>389.24263674614303</v>
      </c>
      <c r="AG23" s="49">
        <f t="shared" si="3"/>
        <v>290</v>
      </c>
      <c r="AH23" s="49">
        <f t="shared" si="3"/>
        <v>4056.5060240963858</v>
      </c>
      <c r="AI23" s="49">
        <f t="shared" si="3"/>
        <v>310</v>
      </c>
      <c r="AJ23" s="49">
        <f t="shared" si="3"/>
        <v>3489.302325581395</v>
      </c>
      <c r="AL23" s="48" t="s">
        <v>126</v>
      </c>
      <c r="AM23" s="49">
        <f t="shared" si="3"/>
        <v>25.12353838332486</v>
      </c>
      <c r="AN23" s="49">
        <f t="shared" si="3"/>
        <v>376.8530757498729</v>
      </c>
      <c r="AO23" s="49">
        <f t="shared" si="3"/>
        <v>355</v>
      </c>
      <c r="AP23" s="49">
        <f t="shared" si="3"/>
        <v>6112.173913043477</v>
      </c>
      <c r="AQ23" s="49">
        <f t="shared" si="3"/>
        <v>765</v>
      </c>
      <c r="AR23" s="49">
        <f t="shared" si="3"/>
        <v>13468.636363636364</v>
      </c>
      <c r="AS23" s="49">
        <f t="shared" si="3"/>
        <v>5</v>
      </c>
      <c r="AT23" s="49">
        <f t="shared" si="3"/>
        <v>50</v>
      </c>
      <c r="AU23" s="49">
        <f t="shared" si="3"/>
        <v>530</v>
      </c>
      <c r="AV23" s="49">
        <f t="shared" si="3"/>
        <v>4240</v>
      </c>
      <c r="AW23" s="49">
        <f t="shared" si="3"/>
        <v>445</v>
      </c>
      <c r="AX23" s="49">
        <f t="shared" si="3"/>
        <v>5345.9598214285725</v>
      </c>
      <c r="AY23" s="49">
        <f t="shared" si="3"/>
        <v>95</v>
      </c>
      <c r="AZ23" s="49">
        <f t="shared" si="3"/>
        <v>885</v>
      </c>
      <c r="BB23" s="48" t="s">
        <v>126</v>
      </c>
      <c r="BC23" s="49">
        <f t="shared" si="3"/>
        <v>0</v>
      </c>
      <c r="BD23" s="49">
        <f t="shared" si="3"/>
        <v>0</v>
      </c>
      <c r="BE23" s="49">
        <f t="shared" si="3"/>
        <v>664.8622775800711</v>
      </c>
      <c r="BF23" s="49">
        <f t="shared" si="3"/>
        <v>17754.734616983143</v>
      </c>
      <c r="BG23" s="49">
        <f t="shared" si="3"/>
        <v>76.50946854001222</v>
      </c>
      <c r="BH23" s="49">
        <f t="shared" si="3"/>
        <v>898.9862553451435</v>
      </c>
      <c r="BI23" s="13"/>
    </row>
    <row r="24" spans="2:60" ht="15">
      <c r="B24" s="43" t="s">
        <v>36</v>
      </c>
      <c r="C24" s="44">
        <v>0</v>
      </c>
      <c r="D24" s="44">
        <v>0</v>
      </c>
      <c r="E24" s="44">
        <v>0</v>
      </c>
      <c r="F24" s="44">
        <v>0</v>
      </c>
      <c r="G24" s="44">
        <v>20</v>
      </c>
      <c r="H24" s="44">
        <f>204/17*G24</f>
        <v>240</v>
      </c>
      <c r="I24" s="44">
        <v>45</v>
      </c>
      <c r="J24" s="44">
        <f>1500/75*I24</f>
        <v>900</v>
      </c>
      <c r="K24" s="44">
        <v>5</v>
      </c>
      <c r="L24" s="44">
        <v>0</v>
      </c>
      <c r="M24" s="44">
        <v>5</v>
      </c>
      <c r="N24" s="44">
        <v>50</v>
      </c>
      <c r="O24" s="44">
        <v>5</v>
      </c>
      <c r="P24" s="44">
        <v>75</v>
      </c>
      <c r="Q24" s="44">
        <v>0</v>
      </c>
      <c r="R24" s="44">
        <v>0</v>
      </c>
      <c r="T24" s="43" t="s">
        <v>36</v>
      </c>
      <c r="U24" s="44">
        <v>0</v>
      </c>
      <c r="V24" s="44">
        <v>0</v>
      </c>
      <c r="W24" s="44">
        <v>0</v>
      </c>
      <c r="X24" s="44">
        <v>0</v>
      </c>
      <c r="Y24" s="44">
        <v>100</v>
      </c>
      <c r="Z24" s="44">
        <f>984/82*Y24</f>
        <v>1200</v>
      </c>
      <c r="AA24" s="44">
        <v>130</v>
      </c>
      <c r="AB24" s="44">
        <f>1764/126*AA24</f>
        <v>1820</v>
      </c>
      <c r="AC24" s="44">
        <v>170</v>
      </c>
      <c r="AD24" s="44">
        <f>2720/170*AC24</f>
        <v>2720</v>
      </c>
      <c r="AE24" s="44">
        <v>60</v>
      </c>
      <c r="AF24" s="44">
        <f>1512/56*AE24</f>
        <v>1620</v>
      </c>
      <c r="AG24" s="44">
        <v>90</v>
      </c>
      <c r="AH24" s="44">
        <f>2232/82*AG24</f>
        <v>2449.7560975609754</v>
      </c>
      <c r="AI24" s="44">
        <v>90</v>
      </c>
      <c r="AJ24" s="44">
        <f>2150/86*AI24</f>
        <v>2250</v>
      </c>
      <c r="AL24" s="43" t="s">
        <v>36</v>
      </c>
      <c r="AM24" s="44">
        <v>35</v>
      </c>
      <c r="AN24" s="44">
        <v>117.18627873383114</v>
      </c>
      <c r="AO24" s="44">
        <v>30</v>
      </c>
      <c r="AP24" s="44">
        <f>522/29*AO24</f>
        <v>540</v>
      </c>
      <c r="AQ24" s="44">
        <v>210</v>
      </c>
      <c r="AR24" s="44">
        <f>4180/209*AQ24</f>
        <v>4200</v>
      </c>
      <c r="AS24" s="44">
        <v>5</v>
      </c>
      <c r="AT24" s="44">
        <v>50</v>
      </c>
      <c r="AU24" s="44">
        <v>50</v>
      </c>
      <c r="AV24" s="44">
        <f>1125/45*AU24</f>
        <v>1250</v>
      </c>
      <c r="AW24" s="44">
        <v>90</v>
      </c>
      <c r="AX24" s="44">
        <f>1120/86*AW24</f>
        <v>1172.093023255814</v>
      </c>
      <c r="AY24" s="44">
        <v>70</v>
      </c>
      <c r="AZ24" s="44">
        <v>720</v>
      </c>
      <c r="BB24" s="43" t="s">
        <v>36</v>
      </c>
      <c r="BC24" s="44">
        <v>5</v>
      </c>
      <c r="BD24" s="44">
        <v>75</v>
      </c>
      <c r="BE24" s="44">
        <v>800</v>
      </c>
      <c r="BF24" s="44">
        <f>22344/798*BE24</f>
        <v>22400</v>
      </c>
      <c r="BG24" s="44">
        <v>90</v>
      </c>
      <c r="BH24" s="44">
        <f>2132/82*BG24</f>
        <v>2340</v>
      </c>
    </row>
    <row r="25" spans="2:60" ht="15">
      <c r="B25" s="43" t="s">
        <v>37</v>
      </c>
      <c r="C25" s="44">
        <v>0</v>
      </c>
      <c r="D25" s="44">
        <v>0</v>
      </c>
      <c r="E25" s="44">
        <v>140</v>
      </c>
      <c r="F25" s="44">
        <v>700</v>
      </c>
      <c r="G25" s="44">
        <v>400</v>
      </c>
      <c r="H25" s="44">
        <f>204/17*G25</f>
        <v>4800</v>
      </c>
      <c r="I25" s="44">
        <v>200</v>
      </c>
      <c r="J25" s="44">
        <f>1500/75*I25</f>
        <v>4000</v>
      </c>
      <c r="K25" s="44">
        <v>0</v>
      </c>
      <c r="L25" s="44">
        <v>0</v>
      </c>
      <c r="M25" s="44">
        <v>0</v>
      </c>
      <c r="N25" s="44">
        <v>0</v>
      </c>
      <c r="O25" s="44">
        <v>5</v>
      </c>
      <c r="P25" s="44">
        <v>75</v>
      </c>
      <c r="Q25" s="44">
        <v>20</v>
      </c>
      <c r="R25" s="44">
        <f>334/20*Q25</f>
        <v>334</v>
      </c>
      <c r="T25" s="43" t="s">
        <v>37</v>
      </c>
      <c r="U25" s="44">
        <v>1.313343328335832</v>
      </c>
      <c r="V25" s="44">
        <v>11.556239871068962</v>
      </c>
      <c r="W25" s="44">
        <v>0</v>
      </c>
      <c r="X25" s="44">
        <v>0</v>
      </c>
      <c r="Y25" s="44">
        <v>200</v>
      </c>
      <c r="Z25" s="44">
        <f>984/82*Y25</f>
        <v>2400</v>
      </c>
      <c r="AA25" s="44">
        <v>60</v>
      </c>
      <c r="AB25" s="44">
        <f>1764/126*AA25</f>
        <v>840</v>
      </c>
      <c r="AC25" s="44">
        <v>210</v>
      </c>
      <c r="AD25" s="44">
        <f>2720/170*AC25</f>
        <v>3360</v>
      </c>
      <c r="AE25" s="44">
        <v>60</v>
      </c>
      <c r="AF25" s="44">
        <f>1512/56*AE25</f>
        <v>1620</v>
      </c>
      <c r="AG25" s="44">
        <v>130</v>
      </c>
      <c r="AH25" s="44">
        <f>2232/82*AG25</f>
        <v>3538.5365853658536</v>
      </c>
      <c r="AI25" s="44">
        <v>100</v>
      </c>
      <c r="AJ25" s="44">
        <f>1200/96*AI25</f>
        <v>1250</v>
      </c>
      <c r="AL25" s="43" t="s">
        <v>37</v>
      </c>
      <c r="AM25" s="44">
        <v>60</v>
      </c>
      <c r="AN25" s="44">
        <v>742.1797653142639</v>
      </c>
      <c r="AO25" s="44">
        <v>45</v>
      </c>
      <c r="AP25" s="44">
        <f>522/29*AO25</f>
        <v>810</v>
      </c>
      <c r="AQ25" s="44">
        <v>235</v>
      </c>
      <c r="AR25" s="44">
        <f>4180/209*AQ25</f>
        <v>4700</v>
      </c>
      <c r="AS25" s="44">
        <v>0</v>
      </c>
      <c r="AT25" s="44">
        <v>0</v>
      </c>
      <c r="AU25" s="44">
        <v>210</v>
      </c>
      <c r="AV25" s="44">
        <f>1125/45*AU25</f>
        <v>5250</v>
      </c>
      <c r="AW25" s="44">
        <v>0</v>
      </c>
      <c r="AX25" s="44">
        <f>1120/86*AW25</f>
        <v>0</v>
      </c>
      <c r="AY25" s="44">
        <v>0</v>
      </c>
      <c r="AZ25" s="44">
        <v>0</v>
      </c>
      <c r="BB25" s="43" t="s">
        <v>37</v>
      </c>
      <c r="BC25" s="44">
        <v>0</v>
      </c>
      <c r="BD25" s="44">
        <v>0</v>
      </c>
      <c r="BE25" s="44">
        <v>890</v>
      </c>
      <c r="BF25" s="44">
        <f>22344/798*BE25</f>
        <v>24920</v>
      </c>
      <c r="BG25" s="44">
        <v>130</v>
      </c>
      <c r="BH25" s="44">
        <f>2132/82*BG25</f>
        <v>3380</v>
      </c>
    </row>
    <row r="26" spans="2:60" ht="15">
      <c r="B26" s="43" t="s">
        <v>38</v>
      </c>
      <c r="C26" s="44">
        <v>0</v>
      </c>
      <c r="D26" s="44">
        <v>0</v>
      </c>
      <c r="E26" s="44">
        <v>15</v>
      </c>
      <c r="F26" s="44">
        <v>105</v>
      </c>
      <c r="G26" s="44">
        <v>45</v>
      </c>
      <c r="H26" s="44">
        <f>204/17*G26</f>
        <v>540</v>
      </c>
      <c r="I26" s="44">
        <v>75</v>
      </c>
      <c r="J26" s="44">
        <f>1500/75*I26</f>
        <v>1500</v>
      </c>
      <c r="K26" s="44">
        <v>0</v>
      </c>
      <c r="L26" s="44">
        <v>0</v>
      </c>
      <c r="M26" s="44">
        <v>25</v>
      </c>
      <c r="N26" s="44">
        <v>250</v>
      </c>
      <c r="O26" s="44">
        <v>15</v>
      </c>
      <c r="P26" s="44">
        <v>300</v>
      </c>
      <c r="Q26" s="44"/>
      <c r="R26" s="44"/>
      <c r="T26" s="43" t="s">
        <v>38</v>
      </c>
      <c r="U26" s="44">
        <v>1</v>
      </c>
      <c r="V26" s="44">
        <v>11.556239871068962</v>
      </c>
      <c r="W26" s="44">
        <v>0</v>
      </c>
      <c r="X26" s="44">
        <v>0</v>
      </c>
      <c r="Y26" s="44">
        <v>110</v>
      </c>
      <c r="Z26" s="44">
        <f>984/82*Y26</f>
        <v>1320</v>
      </c>
      <c r="AA26" s="44">
        <v>125</v>
      </c>
      <c r="AB26" s="44">
        <f>1764/126*AA26</f>
        <v>1750</v>
      </c>
      <c r="AC26" s="44">
        <v>180</v>
      </c>
      <c r="AD26" s="44">
        <f>2720/170*AC26</f>
        <v>2880</v>
      </c>
      <c r="AE26" s="44">
        <v>60</v>
      </c>
      <c r="AF26" s="44">
        <f>1512/56*AE26</f>
        <v>1620</v>
      </c>
      <c r="AG26" s="44">
        <v>80</v>
      </c>
      <c r="AH26" s="44">
        <f>2232/82*AG26</f>
        <v>2177.560975609756</v>
      </c>
      <c r="AI26" s="44">
        <v>90</v>
      </c>
      <c r="AJ26" s="44">
        <f>1200/96*AI26</f>
        <v>1125</v>
      </c>
      <c r="AL26" s="43" t="s">
        <v>38</v>
      </c>
      <c r="AM26" s="44">
        <v>40</v>
      </c>
      <c r="AN26" s="44">
        <v>247.39325510475464</v>
      </c>
      <c r="AO26" s="44">
        <v>90</v>
      </c>
      <c r="AP26" s="44">
        <f>522/29*AO26</f>
        <v>1620</v>
      </c>
      <c r="AQ26" s="44">
        <v>235</v>
      </c>
      <c r="AR26" s="44">
        <f>4180/209*AQ26</f>
        <v>4700</v>
      </c>
      <c r="AS26" s="44">
        <v>15</v>
      </c>
      <c r="AT26" s="44">
        <v>75</v>
      </c>
      <c r="AU26" s="44">
        <v>70</v>
      </c>
      <c r="AV26" s="44">
        <f>1125/45*AU26</f>
        <v>1750</v>
      </c>
      <c r="AW26" s="44">
        <v>90</v>
      </c>
      <c r="AX26" s="44">
        <f>1120/86*AW26</f>
        <v>1172.093023255814</v>
      </c>
      <c r="AY26" s="44">
        <v>100</v>
      </c>
      <c r="AZ26" s="44">
        <v>960</v>
      </c>
      <c r="BB26" s="43" t="s">
        <v>38</v>
      </c>
      <c r="BC26" s="44">
        <v>400</v>
      </c>
      <c r="BD26" s="44">
        <v>4200</v>
      </c>
      <c r="BE26" s="44">
        <v>410</v>
      </c>
      <c r="BF26" s="44">
        <f>22344/798*BE26</f>
        <v>11480</v>
      </c>
      <c r="BG26" s="44">
        <v>110</v>
      </c>
      <c r="BH26" s="44">
        <f>2132/82*BG26</f>
        <v>2860</v>
      </c>
    </row>
    <row r="27" spans="2:61" ht="15">
      <c r="B27" s="48" t="s">
        <v>127</v>
      </c>
      <c r="C27" s="49">
        <f>SUM(C24:C26)</f>
        <v>0</v>
      </c>
      <c r="D27" s="49">
        <f aca="true" t="shared" si="4" ref="D27:BH27">SUM(D24:D26)</f>
        <v>0</v>
      </c>
      <c r="E27" s="49">
        <f t="shared" si="4"/>
        <v>155</v>
      </c>
      <c r="F27" s="49">
        <f t="shared" si="4"/>
        <v>805</v>
      </c>
      <c r="G27" s="49">
        <f t="shared" si="4"/>
        <v>465</v>
      </c>
      <c r="H27" s="49">
        <f t="shared" si="4"/>
        <v>5580</v>
      </c>
      <c r="I27" s="49">
        <f t="shared" si="4"/>
        <v>320</v>
      </c>
      <c r="J27" s="49">
        <f t="shared" si="4"/>
        <v>6400</v>
      </c>
      <c r="K27" s="49">
        <f t="shared" si="4"/>
        <v>5</v>
      </c>
      <c r="L27" s="49">
        <f t="shared" si="4"/>
        <v>0</v>
      </c>
      <c r="M27" s="49">
        <f t="shared" si="4"/>
        <v>30</v>
      </c>
      <c r="N27" s="49">
        <f t="shared" si="4"/>
        <v>300</v>
      </c>
      <c r="O27" s="49">
        <f t="shared" si="4"/>
        <v>25</v>
      </c>
      <c r="P27" s="49">
        <f t="shared" si="4"/>
        <v>450</v>
      </c>
      <c r="Q27" s="49">
        <f t="shared" si="4"/>
        <v>20</v>
      </c>
      <c r="R27" s="49">
        <f t="shared" si="4"/>
        <v>334</v>
      </c>
      <c r="T27" s="48" t="s">
        <v>127</v>
      </c>
      <c r="U27" s="49">
        <f t="shared" si="4"/>
        <v>2.313343328335832</v>
      </c>
      <c r="V27" s="49">
        <f t="shared" si="4"/>
        <v>23.112479742137925</v>
      </c>
      <c r="W27" s="49">
        <f t="shared" si="4"/>
        <v>0</v>
      </c>
      <c r="X27" s="49">
        <f t="shared" si="4"/>
        <v>0</v>
      </c>
      <c r="Y27" s="49">
        <f t="shared" si="4"/>
        <v>410</v>
      </c>
      <c r="Z27" s="49">
        <f t="shared" si="4"/>
        <v>4920</v>
      </c>
      <c r="AA27" s="49">
        <f t="shared" si="4"/>
        <v>315</v>
      </c>
      <c r="AB27" s="49">
        <f t="shared" si="4"/>
        <v>4410</v>
      </c>
      <c r="AC27" s="49">
        <f t="shared" si="4"/>
        <v>560</v>
      </c>
      <c r="AD27" s="49">
        <f t="shared" si="4"/>
        <v>8960</v>
      </c>
      <c r="AE27" s="49">
        <f t="shared" si="4"/>
        <v>180</v>
      </c>
      <c r="AF27" s="49">
        <f t="shared" si="4"/>
        <v>4860</v>
      </c>
      <c r="AG27" s="49">
        <f t="shared" si="4"/>
        <v>300</v>
      </c>
      <c r="AH27" s="49">
        <f t="shared" si="4"/>
        <v>8165.8536585365855</v>
      </c>
      <c r="AI27" s="49">
        <f t="shared" si="4"/>
        <v>280</v>
      </c>
      <c r="AJ27" s="49">
        <f t="shared" si="4"/>
        <v>4625</v>
      </c>
      <c r="AL27" s="48" t="s">
        <v>127</v>
      </c>
      <c r="AM27" s="49">
        <f t="shared" si="4"/>
        <v>135</v>
      </c>
      <c r="AN27" s="49">
        <f t="shared" si="4"/>
        <v>1106.7592991528497</v>
      </c>
      <c r="AO27" s="49">
        <f t="shared" si="4"/>
        <v>165</v>
      </c>
      <c r="AP27" s="49">
        <f t="shared" si="4"/>
        <v>2970</v>
      </c>
      <c r="AQ27" s="49">
        <f t="shared" si="4"/>
        <v>680</v>
      </c>
      <c r="AR27" s="49">
        <f t="shared" si="4"/>
        <v>13600</v>
      </c>
      <c r="AS27" s="49">
        <f t="shared" si="4"/>
        <v>20</v>
      </c>
      <c r="AT27" s="49">
        <f t="shared" si="4"/>
        <v>125</v>
      </c>
      <c r="AU27" s="49">
        <f t="shared" si="4"/>
        <v>330</v>
      </c>
      <c r="AV27" s="49">
        <f t="shared" si="4"/>
        <v>8250</v>
      </c>
      <c r="AW27" s="49">
        <f t="shared" si="4"/>
        <v>180</v>
      </c>
      <c r="AX27" s="49">
        <f t="shared" si="4"/>
        <v>2344.186046511628</v>
      </c>
      <c r="AY27" s="49">
        <f t="shared" si="4"/>
        <v>170</v>
      </c>
      <c r="AZ27" s="49">
        <f t="shared" si="4"/>
        <v>1680</v>
      </c>
      <c r="BB27" s="48" t="s">
        <v>127</v>
      </c>
      <c r="BC27" s="49">
        <f t="shared" si="4"/>
        <v>405</v>
      </c>
      <c r="BD27" s="49">
        <f t="shared" si="4"/>
        <v>4275</v>
      </c>
      <c r="BE27" s="49">
        <f t="shared" si="4"/>
        <v>2100</v>
      </c>
      <c r="BF27" s="49">
        <f t="shared" si="4"/>
        <v>58800</v>
      </c>
      <c r="BG27" s="49">
        <f t="shared" si="4"/>
        <v>330</v>
      </c>
      <c r="BH27" s="49">
        <f t="shared" si="4"/>
        <v>8580</v>
      </c>
      <c r="BI27" s="13"/>
    </row>
    <row r="28" spans="2:60" ht="15">
      <c r="B28" s="43" t="s">
        <v>40</v>
      </c>
      <c r="C28" s="44">
        <v>0</v>
      </c>
      <c r="D28" s="44">
        <v>0</v>
      </c>
      <c r="E28" s="44">
        <v>40</v>
      </c>
      <c r="F28" s="44">
        <v>400</v>
      </c>
      <c r="G28" s="44">
        <v>230</v>
      </c>
      <c r="H28" s="44">
        <f>2800/215*G28</f>
        <v>2995.3488372093025</v>
      </c>
      <c r="I28" s="44">
        <v>100</v>
      </c>
      <c r="J28" s="44">
        <f>2425/100*I28</f>
        <v>2425</v>
      </c>
      <c r="K28" s="44">
        <v>15</v>
      </c>
      <c r="L28" s="44">
        <f>495/11*K28</f>
        <v>675</v>
      </c>
      <c r="M28" s="44">
        <v>0</v>
      </c>
      <c r="N28" s="44">
        <v>0</v>
      </c>
      <c r="O28" s="44">
        <v>250</v>
      </c>
      <c r="P28" s="44">
        <f>5575/220*O28</f>
        <v>6335.227272727272</v>
      </c>
      <c r="Q28" s="44">
        <v>200</v>
      </c>
      <c r="R28" s="44">
        <f>4800/185*Q28</f>
        <v>5189.189189189189</v>
      </c>
      <c r="T28" s="43" t="s">
        <v>40</v>
      </c>
      <c r="U28" s="44">
        <v>125</v>
      </c>
      <c r="V28" s="44">
        <v>1398.3050243993443</v>
      </c>
      <c r="W28" s="44">
        <v>0</v>
      </c>
      <c r="X28" s="44">
        <v>0</v>
      </c>
      <c r="Y28" s="44">
        <v>500</v>
      </c>
      <c r="Z28" s="44">
        <f>4250/425*Y28</f>
        <v>5000</v>
      </c>
      <c r="AA28" s="44">
        <v>80</v>
      </c>
      <c r="AB28" s="44">
        <f>735/73*AA28</f>
        <v>805.4794520547945</v>
      </c>
      <c r="AC28" s="44">
        <v>300</v>
      </c>
      <c r="AD28" s="44">
        <f>4700/280*AC28</f>
        <v>5035.714285714285</v>
      </c>
      <c r="AE28" s="44">
        <v>175</v>
      </c>
      <c r="AF28" s="44">
        <f>6195/170*AE28</f>
        <v>6377.2058823529405</v>
      </c>
      <c r="AG28" s="44">
        <v>170</v>
      </c>
      <c r="AH28" s="44">
        <f>4205/168*AG28</f>
        <v>4255.059523809524</v>
      </c>
      <c r="AI28" s="44">
        <v>260</v>
      </c>
      <c r="AJ28" s="44">
        <f>3200/160*AI28</f>
        <v>5200</v>
      </c>
      <c r="AL28" s="43" t="s">
        <v>40</v>
      </c>
      <c r="AM28" s="44">
        <v>250</v>
      </c>
      <c r="AN28" s="44">
        <f>8350/235*AM28</f>
        <v>8882.978723404256</v>
      </c>
      <c r="AO28" s="44">
        <v>300</v>
      </c>
      <c r="AP28" s="44">
        <f>5250/260*AO28</f>
        <v>6057.692307692308</v>
      </c>
      <c r="AQ28" s="44">
        <v>230</v>
      </c>
      <c r="AR28" s="44">
        <f>4785/220*AQ28</f>
        <v>5002.5</v>
      </c>
      <c r="AS28" s="44">
        <v>0</v>
      </c>
      <c r="AT28" s="44">
        <v>0</v>
      </c>
      <c r="AU28" s="44">
        <v>150</v>
      </c>
      <c r="AV28" s="44">
        <f>3375/135*AU28</f>
        <v>3750</v>
      </c>
      <c r="AW28" s="44">
        <v>80</v>
      </c>
      <c r="AX28" s="44">
        <f>787/80*AW28</f>
        <v>787</v>
      </c>
      <c r="AY28" s="44">
        <v>0</v>
      </c>
      <c r="AZ28" s="44">
        <v>0</v>
      </c>
      <c r="BB28" s="43" t="s">
        <v>40</v>
      </c>
      <c r="BC28" s="44">
        <v>36.45762711864407</v>
      </c>
      <c r="BD28" s="44">
        <f>40/8*BC28</f>
        <v>182.28813559322035</v>
      </c>
      <c r="BE28" s="44">
        <v>460</v>
      </c>
      <c r="BF28" s="44">
        <f>20025/445*BE28</f>
        <v>20700</v>
      </c>
      <c r="BG28" s="44">
        <v>170</v>
      </c>
      <c r="BH28" s="44">
        <f>2805/165*BG28</f>
        <v>2890</v>
      </c>
    </row>
    <row r="29" spans="2:60" ht="15">
      <c r="B29" s="43" t="s">
        <v>41</v>
      </c>
      <c r="C29" s="44">
        <v>0</v>
      </c>
      <c r="D29" s="44">
        <v>0</v>
      </c>
      <c r="E29" s="44">
        <v>0</v>
      </c>
      <c r="F29" s="44">
        <v>0</v>
      </c>
      <c r="G29" s="44">
        <v>280</v>
      </c>
      <c r="H29" s="44">
        <f>2800/215*G29</f>
        <v>3646.5116279069766</v>
      </c>
      <c r="I29" s="44">
        <v>100</v>
      </c>
      <c r="J29" s="44">
        <f>2425/100*I29</f>
        <v>2425</v>
      </c>
      <c r="K29" s="44">
        <v>200</v>
      </c>
      <c r="L29" s="44">
        <f>495/11*K29</f>
        <v>9000</v>
      </c>
      <c r="M29" s="44">
        <v>0</v>
      </c>
      <c r="N29" s="44">
        <v>0</v>
      </c>
      <c r="O29" s="44">
        <v>200</v>
      </c>
      <c r="P29" s="44">
        <f>5575/220*O29</f>
        <v>5068.181818181818</v>
      </c>
      <c r="Q29" s="44">
        <v>244.95548489666135</v>
      </c>
      <c r="R29" s="44">
        <f>4800/185*Q29</f>
        <v>6355.601770291754</v>
      </c>
      <c r="T29" s="43" t="s">
        <v>41</v>
      </c>
      <c r="U29" s="44">
        <v>10</v>
      </c>
      <c r="V29" s="44">
        <v>69.33743922641378</v>
      </c>
      <c r="W29" s="44">
        <v>0</v>
      </c>
      <c r="X29" s="44">
        <v>0</v>
      </c>
      <c r="Y29" s="44">
        <v>400</v>
      </c>
      <c r="Z29" s="44">
        <f>4250/425*Y29</f>
        <v>4000</v>
      </c>
      <c r="AA29" s="44">
        <v>160</v>
      </c>
      <c r="AB29" s="44">
        <f>735/73*AA29</f>
        <v>1610.958904109589</v>
      </c>
      <c r="AC29" s="44">
        <v>230</v>
      </c>
      <c r="AD29" s="44">
        <f>4700/280*AC29</f>
        <v>3860.7142857142853</v>
      </c>
      <c r="AE29" s="44">
        <v>120</v>
      </c>
      <c r="AF29" s="44">
        <f>6195/170*AE29</f>
        <v>4372.941176470587</v>
      </c>
      <c r="AG29" s="44">
        <v>100</v>
      </c>
      <c r="AH29" s="44">
        <f>4205/168*AG29</f>
        <v>2502.9761904761904</v>
      </c>
      <c r="AI29" s="44">
        <v>100</v>
      </c>
      <c r="AJ29" s="44">
        <f>3200/160*AI29</f>
        <v>2000</v>
      </c>
      <c r="AL29" s="43" t="s">
        <v>41</v>
      </c>
      <c r="AM29" s="44">
        <v>70</v>
      </c>
      <c r="AN29" s="44">
        <f>8350/235*AM29</f>
        <v>2487.2340425531916</v>
      </c>
      <c r="AO29" s="44">
        <v>140</v>
      </c>
      <c r="AP29" s="44">
        <f>5250/260*AO29</f>
        <v>2826.923076923077</v>
      </c>
      <c r="AQ29" s="44">
        <v>200</v>
      </c>
      <c r="AR29" s="44">
        <f>4785/220*AQ29</f>
        <v>4350</v>
      </c>
      <c r="AS29" s="44">
        <v>42.54545454545455</v>
      </c>
      <c r="AT29" s="44">
        <v>540.8227188707781</v>
      </c>
      <c r="AU29" s="44">
        <v>70</v>
      </c>
      <c r="AV29" s="44">
        <f>3375/135*AU29</f>
        <v>1750</v>
      </c>
      <c r="AW29" s="44">
        <v>20</v>
      </c>
      <c r="AX29" s="44">
        <f>787/80*AW29</f>
        <v>196.75</v>
      </c>
      <c r="AY29" s="44">
        <v>20</v>
      </c>
      <c r="AZ29" s="44">
        <v>190</v>
      </c>
      <c r="BB29" s="43" t="s">
        <v>41</v>
      </c>
      <c r="BC29" s="44">
        <v>10</v>
      </c>
      <c r="BD29" s="44">
        <f>40/8*BC29</f>
        <v>50</v>
      </c>
      <c r="BE29" s="44">
        <v>410</v>
      </c>
      <c r="BF29" s="44">
        <f>20025/445*BE29</f>
        <v>18450</v>
      </c>
      <c r="BG29" s="44">
        <v>60</v>
      </c>
      <c r="BH29" s="44">
        <f>2805/165*BG29</f>
        <v>1020</v>
      </c>
    </row>
    <row r="30" spans="2:61" ht="15">
      <c r="B30" s="48" t="s">
        <v>128</v>
      </c>
      <c r="C30" s="49">
        <f>SUM(C28:C29)</f>
        <v>0</v>
      </c>
      <c r="D30" s="49">
        <f aca="true" t="shared" si="5" ref="D30:BH30">SUM(D28:D29)</f>
        <v>0</v>
      </c>
      <c r="E30" s="49">
        <f t="shared" si="5"/>
        <v>40</v>
      </c>
      <c r="F30" s="49">
        <f t="shared" si="5"/>
        <v>400</v>
      </c>
      <c r="G30" s="49">
        <f t="shared" si="5"/>
        <v>510</v>
      </c>
      <c r="H30" s="49">
        <f t="shared" si="5"/>
        <v>6641.860465116279</v>
      </c>
      <c r="I30" s="49">
        <f t="shared" si="5"/>
        <v>200</v>
      </c>
      <c r="J30" s="49">
        <f t="shared" si="5"/>
        <v>4850</v>
      </c>
      <c r="K30" s="49">
        <f t="shared" si="5"/>
        <v>215</v>
      </c>
      <c r="L30" s="49">
        <f t="shared" si="5"/>
        <v>9675</v>
      </c>
      <c r="M30" s="49">
        <f t="shared" si="5"/>
        <v>0</v>
      </c>
      <c r="N30" s="49">
        <f t="shared" si="5"/>
        <v>0</v>
      </c>
      <c r="O30" s="49">
        <f t="shared" si="5"/>
        <v>450</v>
      </c>
      <c r="P30" s="49">
        <f t="shared" si="5"/>
        <v>11403.40909090909</v>
      </c>
      <c r="Q30" s="49">
        <f t="shared" si="5"/>
        <v>444.95548489666135</v>
      </c>
      <c r="R30" s="49">
        <f t="shared" si="5"/>
        <v>11544.790959480943</v>
      </c>
      <c r="T30" s="48" t="s">
        <v>128</v>
      </c>
      <c r="U30" s="49">
        <f t="shared" si="5"/>
        <v>135</v>
      </c>
      <c r="V30" s="49">
        <f t="shared" si="5"/>
        <v>1467.6424636257582</v>
      </c>
      <c r="W30" s="49">
        <f t="shared" si="5"/>
        <v>0</v>
      </c>
      <c r="X30" s="49">
        <f t="shared" si="5"/>
        <v>0</v>
      </c>
      <c r="Y30" s="49">
        <f t="shared" si="5"/>
        <v>900</v>
      </c>
      <c r="Z30" s="49">
        <f t="shared" si="5"/>
        <v>9000</v>
      </c>
      <c r="AA30" s="49">
        <f t="shared" si="5"/>
        <v>240</v>
      </c>
      <c r="AB30" s="49">
        <f t="shared" si="5"/>
        <v>2416.4383561643835</v>
      </c>
      <c r="AC30" s="49">
        <f t="shared" si="5"/>
        <v>530</v>
      </c>
      <c r="AD30" s="49">
        <f t="shared" si="5"/>
        <v>8896.42857142857</v>
      </c>
      <c r="AE30" s="49">
        <f t="shared" si="5"/>
        <v>295</v>
      </c>
      <c r="AF30" s="49">
        <f t="shared" si="5"/>
        <v>10750.147058823528</v>
      </c>
      <c r="AG30" s="49">
        <f t="shared" si="5"/>
        <v>270</v>
      </c>
      <c r="AH30" s="49">
        <f t="shared" si="5"/>
        <v>6758.035714285714</v>
      </c>
      <c r="AI30" s="49">
        <f t="shared" si="5"/>
        <v>360</v>
      </c>
      <c r="AJ30" s="49">
        <f t="shared" si="5"/>
        <v>7200</v>
      </c>
      <c r="AL30" s="48" t="s">
        <v>128</v>
      </c>
      <c r="AM30" s="49">
        <f t="shared" si="5"/>
        <v>320</v>
      </c>
      <c r="AN30" s="49">
        <f t="shared" si="5"/>
        <v>11370.212765957447</v>
      </c>
      <c r="AO30" s="49">
        <f t="shared" si="5"/>
        <v>440</v>
      </c>
      <c r="AP30" s="49">
        <f t="shared" si="5"/>
        <v>8884.615384615385</v>
      </c>
      <c r="AQ30" s="49">
        <f t="shared" si="5"/>
        <v>430</v>
      </c>
      <c r="AR30" s="49">
        <f t="shared" si="5"/>
        <v>9352.5</v>
      </c>
      <c r="AS30" s="49">
        <f t="shared" si="5"/>
        <v>42.54545454545455</v>
      </c>
      <c r="AT30" s="49">
        <f t="shared" si="5"/>
        <v>540.8227188707781</v>
      </c>
      <c r="AU30" s="49">
        <f t="shared" si="5"/>
        <v>220</v>
      </c>
      <c r="AV30" s="49">
        <f t="shared" si="5"/>
        <v>5500</v>
      </c>
      <c r="AW30" s="49">
        <f t="shared" si="5"/>
        <v>100</v>
      </c>
      <c r="AX30" s="49">
        <f t="shared" si="5"/>
        <v>983.75</v>
      </c>
      <c r="AY30" s="49">
        <f t="shared" si="5"/>
        <v>20</v>
      </c>
      <c r="AZ30" s="49">
        <f t="shared" si="5"/>
        <v>190</v>
      </c>
      <c r="BB30" s="48" t="s">
        <v>128</v>
      </c>
      <c r="BC30" s="49">
        <f t="shared" si="5"/>
        <v>46.45762711864407</v>
      </c>
      <c r="BD30" s="49">
        <f t="shared" si="5"/>
        <v>232.28813559322035</v>
      </c>
      <c r="BE30" s="49">
        <f t="shared" si="5"/>
        <v>870</v>
      </c>
      <c r="BF30" s="49">
        <f t="shared" si="5"/>
        <v>39150</v>
      </c>
      <c r="BG30" s="49">
        <f t="shared" si="5"/>
        <v>230</v>
      </c>
      <c r="BH30" s="49">
        <f t="shared" si="5"/>
        <v>3910</v>
      </c>
      <c r="BI30" s="13"/>
    </row>
    <row r="31" spans="2:60" ht="15">
      <c r="B31" s="43" t="s">
        <v>43</v>
      </c>
      <c r="C31" s="44">
        <v>0</v>
      </c>
      <c r="D31" s="44">
        <v>0</v>
      </c>
      <c r="E31" s="44">
        <v>110</v>
      </c>
      <c r="F31" s="44">
        <v>541.3713560384416</v>
      </c>
      <c r="G31" s="44">
        <v>140</v>
      </c>
      <c r="H31" s="44">
        <f>660/132*G31</f>
        <v>700</v>
      </c>
      <c r="I31" s="44">
        <v>200</v>
      </c>
      <c r="J31" s="44">
        <f>3075/205*I31</f>
        <v>3000</v>
      </c>
      <c r="K31" s="44">
        <v>34.33145202668035</v>
      </c>
      <c r="L31" s="44">
        <f>1720/86*K31</f>
        <v>686.629040533607</v>
      </c>
      <c r="M31" s="44">
        <v>0</v>
      </c>
      <c r="N31" s="44">
        <v>0</v>
      </c>
      <c r="O31" s="44">
        <v>70</v>
      </c>
      <c r="P31" s="44">
        <f>990/66*O31</f>
        <v>1050</v>
      </c>
      <c r="Q31" s="44">
        <v>20</v>
      </c>
      <c r="R31" s="44">
        <v>279.91291310023763</v>
      </c>
      <c r="T31" s="43" t="s">
        <v>43</v>
      </c>
      <c r="U31" s="44">
        <v>20</v>
      </c>
      <c r="V31" s="44">
        <v>240</v>
      </c>
      <c r="W31" s="44">
        <v>0</v>
      </c>
      <c r="X31" s="44">
        <v>0</v>
      </c>
      <c r="Y31" s="44">
        <v>400</v>
      </c>
      <c r="Z31" s="44">
        <f>3500/350*Y31</f>
        <v>4000</v>
      </c>
      <c r="AA31" s="44">
        <v>250</v>
      </c>
      <c r="AB31" s="44">
        <f>2300/230*AA31</f>
        <v>2500</v>
      </c>
      <c r="AC31" s="44">
        <v>675</v>
      </c>
      <c r="AD31" s="44">
        <f>6500/650*AC31</f>
        <v>6750</v>
      </c>
      <c r="AE31" s="44">
        <v>300</v>
      </c>
      <c r="AF31" s="44">
        <f>4275/285*AE31</f>
        <v>4500</v>
      </c>
      <c r="AG31" s="44">
        <v>184.73433874709977</v>
      </c>
      <c r="AH31" s="44">
        <f>2970/165*AG31</f>
        <v>3325.218097447796</v>
      </c>
      <c r="AI31" s="44">
        <v>410</v>
      </c>
      <c r="AJ31" s="44">
        <f>6150/410*AI31</f>
        <v>6150</v>
      </c>
      <c r="AL31" s="43" t="s">
        <v>43</v>
      </c>
      <c r="AM31" s="44">
        <v>200</v>
      </c>
      <c r="AN31" s="44">
        <f>3700/185*AM31</f>
        <v>4000</v>
      </c>
      <c r="AO31" s="44">
        <v>2100</v>
      </c>
      <c r="AP31" s="44">
        <v>30317.601971434608</v>
      </c>
      <c r="AQ31" s="44">
        <v>1000</v>
      </c>
      <c r="AR31" s="44">
        <f>16560/920*AQ31</f>
        <v>18000</v>
      </c>
      <c r="AS31" s="44">
        <v>100</v>
      </c>
      <c r="AT31" s="44">
        <v>9850</v>
      </c>
      <c r="AU31" s="44">
        <v>200</v>
      </c>
      <c r="AV31" s="44">
        <f>80/10*AU31</f>
        <v>1600</v>
      </c>
      <c r="AW31" s="44">
        <v>216</v>
      </c>
      <c r="AX31" s="44">
        <f>1575/105*AW31</f>
        <v>3240</v>
      </c>
      <c r="AY31" s="44">
        <v>0</v>
      </c>
      <c r="AZ31" s="44">
        <v>0</v>
      </c>
      <c r="BB31" s="43" t="s">
        <v>43</v>
      </c>
      <c r="BC31" s="44">
        <v>0</v>
      </c>
      <c r="BD31" s="44">
        <v>0</v>
      </c>
      <c r="BE31" s="44">
        <v>510</v>
      </c>
      <c r="BF31" s="44">
        <f>10000/500*BE31</f>
        <v>10200</v>
      </c>
      <c r="BG31" s="44">
        <v>120.06353084911424</v>
      </c>
      <c r="BH31" s="44">
        <f>240/20*BG31</f>
        <v>1440.7623701893708</v>
      </c>
    </row>
    <row r="32" spans="2:60" ht="15">
      <c r="B32" s="43" t="s">
        <v>44</v>
      </c>
      <c r="C32" s="44">
        <v>0</v>
      </c>
      <c r="D32" s="44">
        <v>0</v>
      </c>
      <c r="E32" s="44">
        <v>10</v>
      </c>
      <c r="F32" s="44">
        <v>242.92304437622386</v>
      </c>
      <c r="G32" s="44">
        <v>20</v>
      </c>
      <c r="H32" s="44">
        <f>660/132*G32</f>
        <v>100</v>
      </c>
      <c r="I32" s="44">
        <v>20</v>
      </c>
      <c r="J32" s="44">
        <f>3075/205*I32</f>
        <v>300</v>
      </c>
      <c r="K32" s="44">
        <v>5.7219086711133915</v>
      </c>
      <c r="L32" s="44">
        <f>1720/86*K32</f>
        <v>114.43817342226782</v>
      </c>
      <c r="M32" s="44">
        <v>1.2248275862068965</v>
      </c>
      <c r="N32" s="44">
        <v>15</v>
      </c>
      <c r="O32" s="44">
        <v>5</v>
      </c>
      <c r="P32" s="44">
        <f>990/66*O32</f>
        <v>75</v>
      </c>
      <c r="Q32" s="44">
        <v>20</v>
      </c>
      <c r="R32" s="44">
        <v>280</v>
      </c>
      <c r="T32" s="43" t="s">
        <v>44</v>
      </c>
      <c r="U32" s="44">
        <v>5</v>
      </c>
      <c r="V32" s="44">
        <v>57.78119935534481</v>
      </c>
      <c r="W32" s="44">
        <v>0</v>
      </c>
      <c r="X32" s="44">
        <v>0</v>
      </c>
      <c r="Y32" s="44">
        <v>45</v>
      </c>
      <c r="Z32" s="44">
        <f>3500/350*Y32</f>
        <v>450</v>
      </c>
      <c r="AA32" s="44">
        <v>5</v>
      </c>
      <c r="AB32" s="44">
        <f>2300/230*AA32</f>
        <v>50</v>
      </c>
      <c r="AC32" s="44">
        <v>40</v>
      </c>
      <c r="AD32" s="44">
        <f>6500/650*AC32</f>
        <v>400</v>
      </c>
      <c r="AE32" s="44">
        <v>25</v>
      </c>
      <c r="AF32" s="44">
        <f>4275/285*AE32</f>
        <v>375</v>
      </c>
      <c r="AG32" s="44">
        <v>30</v>
      </c>
      <c r="AH32" s="44">
        <f>2970/165*AG32</f>
        <v>540</v>
      </c>
      <c r="AI32" s="44">
        <v>40</v>
      </c>
      <c r="AJ32" s="44">
        <f>6150/410*AI32</f>
        <v>600</v>
      </c>
      <c r="AL32" s="43" t="s">
        <v>44</v>
      </c>
      <c r="AM32" s="44">
        <v>20</v>
      </c>
      <c r="AN32" s="44">
        <f>3700/185*AM32</f>
        <v>400</v>
      </c>
      <c r="AO32" s="44">
        <v>30</v>
      </c>
      <c r="AP32" s="44">
        <v>2522.0266432007697</v>
      </c>
      <c r="AQ32" s="44">
        <v>30</v>
      </c>
      <c r="AR32" s="44">
        <f>16560/920*AQ32</f>
        <v>540</v>
      </c>
      <c r="AS32" s="44">
        <v>20</v>
      </c>
      <c r="AT32" s="44">
        <v>201</v>
      </c>
      <c r="AU32" s="44">
        <v>10</v>
      </c>
      <c r="AV32" s="44">
        <f>80/10*AU32</f>
        <v>80</v>
      </c>
      <c r="AW32" s="44">
        <v>5</v>
      </c>
      <c r="AX32" s="44">
        <f>1575/105*AW32</f>
        <v>75</v>
      </c>
      <c r="AY32" s="44">
        <v>20</v>
      </c>
      <c r="AZ32" s="44">
        <v>200</v>
      </c>
      <c r="BB32" s="43" t="s">
        <v>44</v>
      </c>
      <c r="BC32" s="44">
        <v>0</v>
      </c>
      <c r="BD32" s="44">
        <v>0</v>
      </c>
      <c r="BE32" s="44">
        <v>60</v>
      </c>
      <c r="BF32" s="44">
        <f>10000/500*BE32</f>
        <v>1200</v>
      </c>
      <c r="BG32" s="44">
        <v>30</v>
      </c>
      <c r="BH32" s="44">
        <f>240/20*BG32</f>
        <v>360</v>
      </c>
    </row>
    <row r="33" spans="2:61" ht="15">
      <c r="B33" s="48" t="s">
        <v>129</v>
      </c>
      <c r="C33" s="49">
        <f>SUM(C31:C32)</f>
        <v>0</v>
      </c>
      <c r="D33" s="49">
        <f aca="true" t="shared" si="6" ref="D33:BH33">SUM(D31:D32)</f>
        <v>0</v>
      </c>
      <c r="E33" s="49">
        <f t="shared" si="6"/>
        <v>120</v>
      </c>
      <c r="F33" s="49">
        <f t="shared" si="6"/>
        <v>784.2944004146655</v>
      </c>
      <c r="G33" s="49">
        <f t="shared" si="6"/>
        <v>160</v>
      </c>
      <c r="H33" s="49">
        <f t="shared" si="6"/>
        <v>800</v>
      </c>
      <c r="I33" s="49">
        <f t="shared" si="6"/>
        <v>220</v>
      </c>
      <c r="J33" s="49">
        <f t="shared" si="6"/>
        <v>3300</v>
      </c>
      <c r="K33" s="49">
        <f t="shared" si="6"/>
        <v>40.05336069779374</v>
      </c>
      <c r="L33" s="49">
        <f t="shared" si="6"/>
        <v>801.0672139558749</v>
      </c>
      <c r="M33" s="49">
        <f t="shared" si="6"/>
        <v>1.2248275862068965</v>
      </c>
      <c r="N33" s="49">
        <f t="shared" si="6"/>
        <v>15</v>
      </c>
      <c r="O33" s="49">
        <f t="shared" si="6"/>
        <v>75</v>
      </c>
      <c r="P33" s="49">
        <f t="shared" si="6"/>
        <v>1125</v>
      </c>
      <c r="Q33" s="49">
        <f t="shared" si="6"/>
        <v>40</v>
      </c>
      <c r="R33" s="49">
        <f t="shared" si="6"/>
        <v>559.9129131002376</v>
      </c>
      <c r="T33" s="48" t="s">
        <v>129</v>
      </c>
      <c r="U33" s="49">
        <f t="shared" si="6"/>
        <v>25</v>
      </c>
      <c r="V33" s="49">
        <f t="shared" si="6"/>
        <v>297.7811993553448</v>
      </c>
      <c r="W33" s="49">
        <f t="shared" si="6"/>
        <v>0</v>
      </c>
      <c r="X33" s="49">
        <f t="shared" si="6"/>
        <v>0</v>
      </c>
      <c r="Y33" s="49">
        <f t="shared" si="6"/>
        <v>445</v>
      </c>
      <c r="Z33" s="49">
        <f t="shared" si="6"/>
        <v>4450</v>
      </c>
      <c r="AA33" s="49">
        <f t="shared" si="6"/>
        <v>255</v>
      </c>
      <c r="AB33" s="49">
        <f t="shared" si="6"/>
        <v>2550</v>
      </c>
      <c r="AC33" s="49">
        <f t="shared" si="6"/>
        <v>715</v>
      </c>
      <c r="AD33" s="49">
        <f t="shared" si="6"/>
        <v>7150</v>
      </c>
      <c r="AE33" s="49">
        <f t="shared" si="6"/>
        <v>325</v>
      </c>
      <c r="AF33" s="49">
        <f t="shared" si="6"/>
        <v>4875</v>
      </c>
      <c r="AG33" s="49">
        <f t="shared" si="6"/>
        <v>214.73433874709977</v>
      </c>
      <c r="AH33" s="49">
        <f t="shared" si="6"/>
        <v>3865.218097447796</v>
      </c>
      <c r="AI33" s="49">
        <f t="shared" si="6"/>
        <v>450</v>
      </c>
      <c r="AJ33" s="49">
        <f t="shared" si="6"/>
        <v>6750</v>
      </c>
      <c r="AL33" s="48" t="s">
        <v>129</v>
      </c>
      <c r="AM33" s="49">
        <f t="shared" si="6"/>
        <v>220</v>
      </c>
      <c r="AN33" s="49">
        <f t="shared" si="6"/>
        <v>4400</v>
      </c>
      <c r="AO33" s="49">
        <f t="shared" si="6"/>
        <v>2130</v>
      </c>
      <c r="AP33" s="49">
        <f t="shared" si="6"/>
        <v>32839.628614635374</v>
      </c>
      <c r="AQ33" s="49">
        <f t="shared" si="6"/>
        <v>1030</v>
      </c>
      <c r="AR33" s="49">
        <f t="shared" si="6"/>
        <v>18540</v>
      </c>
      <c r="AS33" s="49">
        <f t="shared" si="6"/>
        <v>120</v>
      </c>
      <c r="AT33" s="49">
        <f t="shared" si="6"/>
        <v>10051</v>
      </c>
      <c r="AU33" s="49">
        <f t="shared" si="6"/>
        <v>210</v>
      </c>
      <c r="AV33" s="49">
        <f t="shared" si="6"/>
        <v>1680</v>
      </c>
      <c r="AW33" s="49">
        <f t="shared" si="6"/>
        <v>221</v>
      </c>
      <c r="AX33" s="49">
        <f t="shared" si="6"/>
        <v>3315</v>
      </c>
      <c r="AY33" s="49">
        <f t="shared" si="6"/>
        <v>20</v>
      </c>
      <c r="AZ33" s="49">
        <f t="shared" si="6"/>
        <v>200</v>
      </c>
      <c r="BB33" s="48" t="s">
        <v>129</v>
      </c>
      <c r="BC33" s="49">
        <f t="shared" si="6"/>
        <v>0</v>
      </c>
      <c r="BD33" s="49">
        <f t="shared" si="6"/>
        <v>0</v>
      </c>
      <c r="BE33" s="49">
        <f t="shared" si="6"/>
        <v>570</v>
      </c>
      <c r="BF33" s="49">
        <f t="shared" si="6"/>
        <v>11400</v>
      </c>
      <c r="BG33" s="49">
        <f t="shared" si="6"/>
        <v>150.06353084911424</v>
      </c>
      <c r="BH33" s="49">
        <f t="shared" si="6"/>
        <v>1800.7623701893708</v>
      </c>
      <c r="BI33" s="13"/>
    </row>
    <row r="34" spans="2:60" ht="15">
      <c r="B34" s="43" t="s">
        <v>46</v>
      </c>
      <c r="C34" s="44">
        <v>3000</v>
      </c>
      <c r="D34" s="44">
        <f>39200/2800*3000</f>
        <v>42000</v>
      </c>
      <c r="E34" s="44">
        <v>2063.2194016319127</v>
      </c>
      <c r="F34" s="44">
        <f>12635/1805*E34</f>
        <v>14442.53581142339</v>
      </c>
      <c r="G34" s="44">
        <v>310</v>
      </c>
      <c r="H34" s="44">
        <f>2114/302*G34</f>
        <v>2170</v>
      </c>
      <c r="I34" s="44">
        <v>800</v>
      </c>
      <c r="J34" s="44">
        <f>11265/751*I34</f>
        <v>12000</v>
      </c>
      <c r="K34" s="44">
        <v>700</v>
      </c>
      <c r="L34" s="44">
        <f>14070/670*K34</f>
        <v>14700</v>
      </c>
      <c r="M34" s="44">
        <v>400</v>
      </c>
      <c r="N34" s="44">
        <f>4596/383*M34</f>
        <v>4800</v>
      </c>
      <c r="O34" s="44">
        <v>209.81254558716267</v>
      </c>
      <c r="P34" s="44">
        <f>147</f>
        <v>147</v>
      </c>
      <c r="Q34" s="44">
        <v>350</v>
      </c>
      <c r="R34" s="44">
        <f>4140/345*Q34</f>
        <v>4200</v>
      </c>
      <c r="T34" s="43" t="s">
        <v>46</v>
      </c>
      <c r="U34" s="44">
        <v>225</v>
      </c>
      <c r="V34" s="44">
        <f>2568/214*U34</f>
        <v>2700</v>
      </c>
      <c r="W34" s="44">
        <v>150</v>
      </c>
      <c r="X34" s="44">
        <f>1620/135*W34</f>
        <v>1800</v>
      </c>
      <c r="Y34" s="44">
        <v>160</v>
      </c>
      <c r="Z34" s="44">
        <f>936/156*Y34</f>
        <v>960</v>
      </c>
      <c r="AA34" s="44">
        <v>150</v>
      </c>
      <c r="AB34" s="44">
        <f>882/147*AA34</f>
        <v>900</v>
      </c>
      <c r="AC34" s="44">
        <v>180</v>
      </c>
      <c r="AD34" s="44">
        <f>835/167*AC34</f>
        <v>900</v>
      </c>
      <c r="AE34" s="44">
        <v>160</v>
      </c>
      <c r="AF34" s="44">
        <f>665/95*AE34</f>
        <v>1120</v>
      </c>
      <c r="AG34" s="44">
        <v>100</v>
      </c>
      <c r="AH34" s="44">
        <f>873/97*AG34</f>
        <v>900</v>
      </c>
      <c r="AI34" s="44">
        <v>150</v>
      </c>
      <c r="AJ34" s="44">
        <f>882/147*AI34</f>
        <v>900</v>
      </c>
      <c r="AL34" s="43" t="s">
        <v>46</v>
      </c>
      <c r="AM34" s="44">
        <v>160</v>
      </c>
      <c r="AN34" s="44">
        <f>1500/150*AM34</f>
        <v>1600</v>
      </c>
      <c r="AO34" s="44">
        <v>300</v>
      </c>
      <c r="AP34" s="44">
        <f>1722/287*AO34</f>
        <v>1800</v>
      </c>
      <c r="AQ34" s="44">
        <v>610</v>
      </c>
      <c r="AR34" s="44">
        <f>7904/608*AQ34</f>
        <v>7930</v>
      </c>
      <c r="AS34" s="44">
        <v>70</v>
      </c>
      <c r="AT34" s="44">
        <f>366/61*AS34</f>
        <v>420</v>
      </c>
      <c r="AU34" s="44">
        <v>250</v>
      </c>
      <c r="AV34" s="44">
        <f>1452/242*AU34</f>
        <v>1500</v>
      </c>
      <c r="AW34" s="44">
        <v>200</v>
      </c>
      <c r="AX34" s="44">
        <f>1206/201*AW34</f>
        <v>1200</v>
      </c>
      <c r="AY34" s="44">
        <v>130</v>
      </c>
      <c r="AZ34" s="44">
        <v>1260</v>
      </c>
      <c r="BB34" s="43" t="s">
        <v>46</v>
      </c>
      <c r="BC34" s="44">
        <v>400</v>
      </c>
      <c r="BD34" s="44">
        <v>0</v>
      </c>
      <c r="BE34" s="44">
        <v>890</v>
      </c>
      <c r="BF34" s="44">
        <f>12404/886*BE34</f>
        <v>12460</v>
      </c>
      <c r="BG34" s="44">
        <v>220</v>
      </c>
      <c r="BH34" s="44">
        <f>1505/215*BG34</f>
        <v>1540</v>
      </c>
    </row>
    <row r="35" spans="2:60" ht="15">
      <c r="B35" s="43" t="s">
        <v>47</v>
      </c>
      <c r="C35" s="44">
        <v>0</v>
      </c>
      <c r="D35" s="44">
        <v>0</v>
      </c>
      <c r="E35" s="44">
        <v>50</v>
      </c>
      <c r="F35" s="44">
        <f>12635/1805*E35</f>
        <v>350</v>
      </c>
      <c r="G35" s="44">
        <v>75</v>
      </c>
      <c r="H35" s="44">
        <f>2114/302*G35</f>
        <v>525</v>
      </c>
      <c r="I35" s="44">
        <v>300</v>
      </c>
      <c r="J35" s="44">
        <f>11265/751*I35</f>
        <v>4500</v>
      </c>
      <c r="K35" s="44">
        <v>5</v>
      </c>
      <c r="L35" s="44">
        <f>14070/670*K35</f>
        <v>105</v>
      </c>
      <c r="M35" s="44">
        <v>5</v>
      </c>
      <c r="N35" s="44">
        <f>4596/383*M35</f>
        <v>60</v>
      </c>
      <c r="O35" s="44">
        <v>1.1721371261852662</v>
      </c>
      <c r="P35" s="44">
        <v>12.034511545198507</v>
      </c>
      <c r="Q35" s="44">
        <v>60</v>
      </c>
      <c r="R35" s="44">
        <f>4140/345*Q35</f>
        <v>720</v>
      </c>
      <c r="T35" s="43" t="s">
        <v>47</v>
      </c>
      <c r="U35" s="44">
        <v>5</v>
      </c>
      <c r="V35" s="44">
        <f>2568/214*U35</f>
        <v>60</v>
      </c>
      <c r="W35" s="44">
        <v>5</v>
      </c>
      <c r="X35" s="44">
        <f>1620/135*W35</f>
        <v>60</v>
      </c>
      <c r="Y35" s="44">
        <v>400</v>
      </c>
      <c r="Z35" s="44">
        <f>936/156*Y35</f>
        <v>2400</v>
      </c>
      <c r="AA35" s="44">
        <v>100</v>
      </c>
      <c r="AB35" s="44">
        <f>882/147*AA35</f>
        <v>600</v>
      </c>
      <c r="AC35" s="44">
        <v>440</v>
      </c>
      <c r="AD35" s="44">
        <f>835/167*AC35</f>
        <v>2200</v>
      </c>
      <c r="AE35" s="44">
        <v>225</v>
      </c>
      <c r="AF35" s="44">
        <f>665/95*AE35</f>
        <v>1575</v>
      </c>
      <c r="AG35" s="44">
        <v>150</v>
      </c>
      <c r="AH35" s="44">
        <f>873/97*AG35</f>
        <v>1350</v>
      </c>
      <c r="AI35" s="44">
        <v>220</v>
      </c>
      <c r="AJ35" s="44">
        <f>882/147*AI35</f>
        <v>1320</v>
      </c>
      <c r="AL35" s="43" t="s">
        <v>47</v>
      </c>
      <c r="AM35" s="44">
        <v>260</v>
      </c>
      <c r="AN35" s="44">
        <f>1500/150*AM35</f>
        <v>2600</v>
      </c>
      <c r="AO35" s="44">
        <v>2800</v>
      </c>
      <c r="AP35" s="44">
        <f>1722/287*AO35</f>
        <v>16800</v>
      </c>
      <c r="AQ35" s="44">
        <v>720</v>
      </c>
      <c r="AR35" s="44">
        <f>7904/608*AQ35</f>
        <v>9360</v>
      </c>
      <c r="AS35" s="44">
        <v>60</v>
      </c>
      <c r="AT35" s="44">
        <f>366/61*AS35</f>
        <v>360</v>
      </c>
      <c r="AU35" s="44">
        <v>650</v>
      </c>
      <c r="AV35" s="44">
        <f>1452/242*AU35</f>
        <v>3900</v>
      </c>
      <c r="AW35" s="44">
        <v>90</v>
      </c>
      <c r="AX35" s="44">
        <f>1206/201*AW35</f>
        <v>540</v>
      </c>
      <c r="AY35" s="44">
        <v>200</v>
      </c>
      <c r="AZ35" s="44">
        <v>1980</v>
      </c>
      <c r="BB35" s="43" t="s">
        <v>47</v>
      </c>
      <c r="BC35" s="44">
        <v>100</v>
      </c>
      <c r="BD35" s="44">
        <v>9800</v>
      </c>
      <c r="BE35" s="44">
        <v>1280</v>
      </c>
      <c r="BF35" s="44">
        <f>12404/886*BE35</f>
        <v>17920</v>
      </c>
      <c r="BG35" s="44">
        <v>150</v>
      </c>
      <c r="BH35" s="44">
        <f>1505/215*BG35</f>
        <v>1050</v>
      </c>
    </row>
    <row r="36" spans="2:61" ht="15">
      <c r="B36" s="48" t="s">
        <v>130</v>
      </c>
      <c r="C36" s="49">
        <f>SUM(C34:C35)</f>
        <v>3000</v>
      </c>
      <c r="D36" s="49">
        <f aca="true" t="shared" si="7" ref="D36:BH36">SUM(D34:D35)</f>
        <v>42000</v>
      </c>
      <c r="E36" s="49">
        <f t="shared" si="7"/>
        <v>2113.2194016319127</v>
      </c>
      <c r="F36" s="49">
        <f t="shared" si="7"/>
        <v>14792.53581142339</v>
      </c>
      <c r="G36" s="49">
        <f t="shared" si="7"/>
        <v>385</v>
      </c>
      <c r="H36" s="49">
        <f t="shared" si="7"/>
        <v>2695</v>
      </c>
      <c r="I36" s="49">
        <f t="shared" si="7"/>
        <v>1100</v>
      </c>
      <c r="J36" s="49">
        <f t="shared" si="7"/>
        <v>16500</v>
      </c>
      <c r="K36" s="49">
        <f t="shared" si="7"/>
        <v>705</v>
      </c>
      <c r="L36" s="49">
        <f t="shared" si="7"/>
        <v>14805</v>
      </c>
      <c r="M36" s="49">
        <f t="shared" si="7"/>
        <v>405</v>
      </c>
      <c r="N36" s="49">
        <f t="shared" si="7"/>
        <v>4860</v>
      </c>
      <c r="O36" s="49">
        <f t="shared" si="7"/>
        <v>210.98468271334795</v>
      </c>
      <c r="P36" s="49">
        <f t="shared" si="7"/>
        <v>159.0345115451985</v>
      </c>
      <c r="Q36" s="49">
        <f t="shared" si="7"/>
        <v>410</v>
      </c>
      <c r="R36" s="49">
        <f t="shared" si="7"/>
        <v>4920</v>
      </c>
      <c r="T36" s="48" t="s">
        <v>130</v>
      </c>
      <c r="U36" s="49">
        <f t="shared" si="7"/>
        <v>230</v>
      </c>
      <c r="V36" s="49">
        <f t="shared" si="7"/>
        <v>2760</v>
      </c>
      <c r="W36" s="49">
        <f t="shared" si="7"/>
        <v>155</v>
      </c>
      <c r="X36" s="49">
        <f t="shared" si="7"/>
        <v>1860</v>
      </c>
      <c r="Y36" s="49">
        <f t="shared" si="7"/>
        <v>560</v>
      </c>
      <c r="Z36" s="49">
        <f t="shared" si="7"/>
        <v>3360</v>
      </c>
      <c r="AA36" s="49">
        <f t="shared" si="7"/>
        <v>250</v>
      </c>
      <c r="AB36" s="49">
        <f t="shared" si="7"/>
        <v>1500</v>
      </c>
      <c r="AC36" s="49">
        <f t="shared" si="7"/>
        <v>620</v>
      </c>
      <c r="AD36" s="49">
        <f t="shared" si="7"/>
        <v>3100</v>
      </c>
      <c r="AE36" s="49">
        <f t="shared" si="7"/>
        <v>385</v>
      </c>
      <c r="AF36" s="49">
        <f t="shared" si="7"/>
        <v>2695</v>
      </c>
      <c r="AG36" s="49">
        <f t="shared" si="7"/>
        <v>250</v>
      </c>
      <c r="AH36" s="49">
        <f t="shared" si="7"/>
        <v>2250</v>
      </c>
      <c r="AI36" s="49">
        <f t="shared" si="7"/>
        <v>370</v>
      </c>
      <c r="AJ36" s="49">
        <f t="shared" si="7"/>
        <v>2220</v>
      </c>
      <c r="AL36" s="48" t="s">
        <v>130</v>
      </c>
      <c r="AM36" s="49">
        <f t="shared" si="7"/>
        <v>420</v>
      </c>
      <c r="AN36" s="49">
        <f t="shared" si="7"/>
        <v>4200</v>
      </c>
      <c r="AO36" s="49">
        <f t="shared" si="7"/>
        <v>3100</v>
      </c>
      <c r="AP36" s="49">
        <f t="shared" si="7"/>
        <v>18600</v>
      </c>
      <c r="AQ36" s="49">
        <f t="shared" si="7"/>
        <v>1330</v>
      </c>
      <c r="AR36" s="49">
        <f t="shared" si="7"/>
        <v>17290</v>
      </c>
      <c r="AS36" s="49">
        <f t="shared" si="7"/>
        <v>130</v>
      </c>
      <c r="AT36" s="49">
        <f t="shared" si="7"/>
        <v>780</v>
      </c>
      <c r="AU36" s="49">
        <f t="shared" si="7"/>
        <v>900</v>
      </c>
      <c r="AV36" s="49">
        <f t="shared" si="7"/>
        <v>5400</v>
      </c>
      <c r="AW36" s="49">
        <f t="shared" si="7"/>
        <v>290</v>
      </c>
      <c r="AX36" s="49">
        <f t="shared" si="7"/>
        <v>1740</v>
      </c>
      <c r="AY36" s="49">
        <f t="shared" si="7"/>
        <v>330</v>
      </c>
      <c r="AZ36" s="49">
        <f t="shared" si="7"/>
        <v>3240</v>
      </c>
      <c r="BB36" s="48" t="s">
        <v>130</v>
      </c>
      <c r="BC36" s="49">
        <f t="shared" si="7"/>
        <v>500</v>
      </c>
      <c r="BD36" s="49">
        <f t="shared" si="7"/>
        <v>9800</v>
      </c>
      <c r="BE36" s="49">
        <f t="shared" si="7"/>
        <v>2170</v>
      </c>
      <c r="BF36" s="49">
        <f t="shared" si="7"/>
        <v>30380</v>
      </c>
      <c r="BG36" s="49">
        <f t="shared" si="7"/>
        <v>370</v>
      </c>
      <c r="BH36" s="49">
        <f t="shared" si="7"/>
        <v>2590</v>
      </c>
      <c r="BI36" s="13"/>
    </row>
    <row r="37" spans="2:60" ht="15">
      <c r="B37" s="43" t="s">
        <v>49</v>
      </c>
      <c r="C37" s="44">
        <v>2.3414376321353068</v>
      </c>
      <c r="D37" s="44">
        <v>30</v>
      </c>
      <c r="E37" s="44">
        <v>380</v>
      </c>
      <c r="F37" s="44">
        <f>4500/375*E37</f>
        <v>4560</v>
      </c>
      <c r="G37" s="44">
        <v>50</v>
      </c>
      <c r="H37" s="44">
        <f>360/45*G37</f>
        <v>400</v>
      </c>
      <c r="I37" s="44">
        <v>200</v>
      </c>
      <c r="J37" s="44">
        <f>3800/190*I37</f>
        <v>4000</v>
      </c>
      <c r="K37" s="44">
        <v>20</v>
      </c>
      <c r="L37" s="44">
        <v>400</v>
      </c>
      <c r="M37" s="44">
        <v>10</v>
      </c>
      <c r="N37" s="44">
        <v>150</v>
      </c>
      <c r="O37" s="44">
        <v>15</v>
      </c>
      <c r="P37" s="44">
        <v>180</v>
      </c>
      <c r="Q37" s="44">
        <v>90</v>
      </c>
      <c r="R37" s="44">
        <f>1700/85*Q37</f>
        <v>1800</v>
      </c>
      <c r="T37" s="43" t="s">
        <v>49</v>
      </c>
      <c r="U37" s="44">
        <v>15</v>
      </c>
      <c r="V37" s="44">
        <f>195/15*U37</f>
        <v>195</v>
      </c>
      <c r="W37" s="44">
        <v>0</v>
      </c>
      <c r="X37" s="44">
        <v>0</v>
      </c>
      <c r="Y37" s="44">
        <v>300</v>
      </c>
      <c r="Z37" s="44">
        <f>3850/275*Y37</f>
        <v>4200</v>
      </c>
      <c r="AA37" s="44">
        <v>0</v>
      </c>
      <c r="AB37" s="44">
        <v>0</v>
      </c>
      <c r="AC37" s="44">
        <v>300</v>
      </c>
      <c r="AD37" s="44">
        <f>3120/260*AC37</f>
        <v>3600</v>
      </c>
      <c r="AE37" s="44">
        <v>150</v>
      </c>
      <c r="AF37" s="44">
        <f>2250/150*AE37</f>
        <v>2250</v>
      </c>
      <c r="AG37" s="44">
        <v>120</v>
      </c>
      <c r="AH37" s="44">
        <f>2079/115*AG37</f>
        <v>2169.391304347826</v>
      </c>
      <c r="AI37" s="44">
        <v>200</v>
      </c>
      <c r="AJ37" s="44">
        <f>2800/165*AI37</f>
        <v>3393.939393939394</v>
      </c>
      <c r="AL37" s="43" t="s">
        <v>49</v>
      </c>
      <c r="AM37" s="44">
        <v>110</v>
      </c>
      <c r="AN37" s="44">
        <f>2000/20*AM37</f>
        <v>11000</v>
      </c>
      <c r="AO37" s="44">
        <v>200</v>
      </c>
      <c r="AP37" s="44">
        <f>2880/180*AO37</f>
        <v>3200</v>
      </c>
      <c r="AQ37" s="44">
        <v>300</v>
      </c>
      <c r="AR37" s="44">
        <f>4125/275*AQ37</f>
        <v>4500</v>
      </c>
      <c r="AS37" s="44">
        <v>120</v>
      </c>
      <c r="AT37" s="44">
        <f>1725/115*AS37</f>
        <v>1800</v>
      </c>
      <c r="AU37" s="44">
        <v>30</v>
      </c>
      <c r="AV37" s="44">
        <v>300</v>
      </c>
      <c r="AW37" s="44">
        <v>120</v>
      </c>
      <c r="AX37" s="44">
        <f>1800/120*AW37</f>
        <v>1800</v>
      </c>
      <c r="AY37" s="44">
        <v>0</v>
      </c>
      <c r="AZ37" s="44">
        <v>0</v>
      </c>
      <c r="BB37" s="43" t="s">
        <v>49</v>
      </c>
      <c r="BC37" s="44">
        <v>180</v>
      </c>
      <c r="BD37" s="44">
        <v>0</v>
      </c>
      <c r="BE37" s="44">
        <v>500</v>
      </c>
      <c r="BF37" s="44">
        <f>6720/480*BE37</f>
        <v>7000</v>
      </c>
      <c r="BG37" s="44">
        <v>90</v>
      </c>
      <c r="BH37" s="44">
        <f>1200/80*BG37</f>
        <v>1350</v>
      </c>
    </row>
    <row r="38" spans="2:60" ht="15">
      <c r="B38" s="43" t="s">
        <v>50</v>
      </c>
      <c r="C38" s="44">
        <v>0</v>
      </c>
      <c r="D38" s="44">
        <v>0</v>
      </c>
      <c r="E38" s="44">
        <v>45</v>
      </c>
      <c r="F38" s="44">
        <f>4500/375*E38</f>
        <v>540</v>
      </c>
      <c r="G38" s="44">
        <v>30</v>
      </c>
      <c r="H38" s="44">
        <f>360/45*G38</f>
        <v>240</v>
      </c>
      <c r="I38" s="44">
        <v>30</v>
      </c>
      <c r="J38" s="44">
        <f>3800/190*I38</f>
        <v>600</v>
      </c>
      <c r="K38" s="44">
        <v>0</v>
      </c>
      <c r="L38" s="44"/>
      <c r="M38" s="44">
        <v>0</v>
      </c>
      <c r="N38" s="44">
        <v>0</v>
      </c>
      <c r="O38" s="44">
        <v>0</v>
      </c>
      <c r="P38" s="44">
        <v>0</v>
      </c>
      <c r="Q38" s="44">
        <v>60</v>
      </c>
      <c r="R38" s="44">
        <f>1700/85*Q38</f>
        <v>1200</v>
      </c>
      <c r="T38" s="43" t="s">
        <v>50</v>
      </c>
      <c r="U38" s="44">
        <v>20</v>
      </c>
      <c r="V38" s="44">
        <f>195/15*U38</f>
        <v>260</v>
      </c>
      <c r="W38" s="44">
        <v>0</v>
      </c>
      <c r="X38" s="44">
        <v>0</v>
      </c>
      <c r="Y38" s="44">
        <v>120</v>
      </c>
      <c r="Z38" s="44">
        <f>3850/275*Y38</f>
        <v>1680</v>
      </c>
      <c r="AA38" s="44">
        <v>40</v>
      </c>
      <c r="AB38" s="44">
        <f>525/35*AA38</f>
        <v>600</v>
      </c>
      <c r="AC38" s="44">
        <v>100</v>
      </c>
      <c r="AD38" s="44">
        <f>3120/260*AC38</f>
        <v>1200</v>
      </c>
      <c r="AE38" s="44">
        <v>75</v>
      </c>
      <c r="AF38" s="44">
        <f>2250/150*AE38</f>
        <v>1125</v>
      </c>
      <c r="AG38" s="44">
        <v>75</v>
      </c>
      <c r="AH38" s="44">
        <f>2079/115*AG38</f>
        <v>1355.8695652173913</v>
      </c>
      <c r="AI38" s="44">
        <v>90</v>
      </c>
      <c r="AJ38" s="44">
        <f>2800/165*AI38</f>
        <v>1527.2727272727273</v>
      </c>
      <c r="AL38" s="43" t="s">
        <v>50</v>
      </c>
      <c r="AM38" s="44">
        <v>30</v>
      </c>
      <c r="AN38" s="44">
        <f>2000/20*AM38</f>
        <v>3000</v>
      </c>
      <c r="AO38" s="44">
        <v>5</v>
      </c>
      <c r="AP38" s="44">
        <f>2880/180*AO38</f>
        <v>80</v>
      </c>
      <c r="AQ38" s="44">
        <v>70</v>
      </c>
      <c r="AR38" s="44">
        <f>4125/275*AQ38</f>
        <v>1050</v>
      </c>
      <c r="AS38" s="44">
        <v>30</v>
      </c>
      <c r="AT38" s="44">
        <f>1725/115*AS38</f>
        <v>450</v>
      </c>
      <c r="AU38" s="44">
        <v>65</v>
      </c>
      <c r="AV38" s="44">
        <v>650</v>
      </c>
      <c r="AW38" s="44">
        <v>85</v>
      </c>
      <c r="AX38" s="44">
        <f>1800/120*AW38</f>
        <v>1275</v>
      </c>
      <c r="AY38" s="44">
        <v>0</v>
      </c>
      <c r="AZ38" s="44">
        <v>0</v>
      </c>
      <c r="BB38" s="43" t="s">
        <v>50</v>
      </c>
      <c r="BC38" s="44">
        <v>70</v>
      </c>
      <c r="BD38" s="44">
        <v>700</v>
      </c>
      <c r="BE38" s="44">
        <v>190</v>
      </c>
      <c r="BF38" s="44">
        <f>6720/480*BE38</f>
        <v>2660</v>
      </c>
      <c r="BG38" s="44">
        <v>89.68601099572389</v>
      </c>
      <c r="BH38" s="44">
        <f>1200/80*BG38</f>
        <v>1345.2901649358585</v>
      </c>
    </row>
    <row r="39" spans="2:61" ht="15">
      <c r="B39" s="48" t="s">
        <v>51</v>
      </c>
      <c r="C39" s="49">
        <f>SUM(C37:C38)</f>
        <v>2.3414376321353068</v>
      </c>
      <c r="D39" s="49">
        <f aca="true" t="shared" si="8" ref="D39:BH39">SUM(D37:D38)</f>
        <v>30</v>
      </c>
      <c r="E39" s="49">
        <f t="shared" si="8"/>
        <v>425</v>
      </c>
      <c r="F39" s="49">
        <f t="shared" si="8"/>
        <v>5100</v>
      </c>
      <c r="G39" s="49">
        <f t="shared" si="8"/>
        <v>80</v>
      </c>
      <c r="H39" s="49">
        <f t="shared" si="8"/>
        <v>640</v>
      </c>
      <c r="I39" s="49">
        <f>SUM(I37:I38)</f>
        <v>230</v>
      </c>
      <c r="J39" s="49">
        <f t="shared" si="8"/>
        <v>4600</v>
      </c>
      <c r="K39" s="49">
        <f t="shared" si="8"/>
        <v>20</v>
      </c>
      <c r="L39" s="49">
        <f t="shared" si="8"/>
        <v>400</v>
      </c>
      <c r="M39" s="49">
        <f t="shared" si="8"/>
        <v>10</v>
      </c>
      <c r="N39" s="49">
        <f t="shared" si="8"/>
        <v>150</v>
      </c>
      <c r="O39" s="49">
        <f t="shared" si="8"/>
        <v>15</v>
      </c>
      <c r="P39" s="49">
        <f t="shared" si="8"/>
        <v>180</v>
      </c>
      <c r="Q39" s="49">
        <f t="shared" si="8"/>
        <v>150</v>
      </c>
      <c r="R39" s="49">
        <f t="shared" si="8"/>
        <v>3000</v>
      </c>
      <c r="T39" s="48" t="s">
        <v>51</v>
      </c>
      <c r="U39" s="49">
        <f t="shared" si="8"/>
        <v>35</v>
      </c>
      <c r="V39" s="49">
        <f t="shared" si="8"/>
        <v>455</v>
      </c>
      <c r="W39" s="49">
        <f t="shared" si="8"/>
        <v>0</v>
      </c>
      <c r="X39" s="49">
        <f t="shared" si="8"/>
        <v>0</v>
      </c>
      <c r="Y39" s="49">
        <f t="shared" si="8"/>
        <v>420</v>
      </c>
      <c r="Z39" s="49">
        <f t="shared" si="8"/>
        <v>5880</v>
      </c>
      <c r="AA39" s="49">
        <f t="shared" si="8"/>
        <v>40</v>
      </c>
      <c r="AB39" s="49">
        <f t="shared" si="8"/>
        <v>600</v>
      </c>
      <c r="AC39" s="49">
        <f t="shared" si="8"/>
        <v>400</v>
      </c>
      <c r="AD39" s="49">
        <f t="shared" si="8"/>
        <v>4800</v>
      </c>
      <c r="AE39" s="49">
        <f t="shared" si="8"/>
        <v>225</v>
      </c>
      <c r="AF39" s="49">
        <f t="shared" si="8"/>
        <v>3375</v>
      </c>
      <c r="AG39" s="49">
        <f t="shared" si="8"/>
        <v>195</v>
      </c>
      <c r="AH39" s="49">
        <f t="shared" si="8"/>
        <v>3525.260869565217</v>
      </c>
      <c r="AI39" s="49">
        <f t="shared" si="8"/>
        <v>290</v>
      </c>
      <c r="AJ39" s="49">
        <f t="shared" si="8"/>
        <v>4921.212121212121</v>
      </c>
      <c r="AL39" s="48" t="s">
        <v>51</v>
      </c>
      <c r="AM39" s="49">
        <f t="shared" si="8"/>
        <v>140</v>
      </c>
      <c r="AN39" s="49">
        <f t="shared" si="8"/>
        <v>14000</v>
      </c>
      <c r="AO39" s="49">
        <f t="shared" si="8"/>
        <v>205</v>
      </c>
      <c r="AP39" s="49">
        <f t="shared" si="8"/>
        <v>3280</v>
      </c>
      <c r="AQ39" s="49">
        <f t="shared" si="8"/>
        <v>370</v>
      </c>
      <c r="AR39" s="49">
        <f t="shared" si="8"/>
        <v>5550</v>
      </c>
      <c r="AS39" s="49">
        <f t="shared" si="8"/>
        <v>150</v>
      </c>
      <c r="AT39" s="49">
        <f t="shared" si="8"/>
        <v>2250</v>
      </c>
      <c r="AU39" s="49">
        <f t="shared" si="8"/>
        <v>95</v>
      </c>
      <c r="AV39" s="49">
        <f t="shared" si="8"/>
        <v>950</v>
      </c>
      <c r="AW39" s="49">
        <f t="shared" si="8"/>
        <v>205</v>
      </c>
      <c r="AX39" s="49">
        <f t="shared" si="8"/>
        <v>3075</v>
      </c>
      <c r="AY39" s="49">
        <f t="shared" si="8"/>
        <v>0</v>
      </c>
      <c r="AZ39" s="49">
        <f t="shared" si="8"/>
        <v>0</v>
      </c>
      <c r="BB39" s="48" t="s">
        <v>51</v>
      </c>
      <c r="BC39" s="49">
        <f t="shared" si="8"/>
        <v>250</v>
      </c>
      <c r="BD39" s="49">
        <f t="shared" si="8"/>
        <v>700</v>
      </c>
      <c r="BE39" s="49">
        <f t="shared" si="8"/>
        <v>690</v>
      </c>
      <c r="BF39" s="49">
        <f t="shared" si="8"/>
        <v>9660</v>
      </c>
      <c r="BG39" s="49">
        <f t="shared" si="8"/>
        <v>179.6860109957239</v>
      </c>
      <c r="BH39" s="49">
        <f t="shared" si="8"/>
        <v>2695.2901649358582</v>
      </c>
      <c r="BI39" s="13"/>
    </row>
    <row r="40" spans="2:60" ht="15">
      <c r="B40" s="43" t="s">
        <v>59</v>
      </c>
      <c r="C40" s="44">
        <v>0</v>
      </c>
      <c r="D40" s="44">
        <v>0</v>
      </c>
      <c r="E40" s="44">
        <v>100</v>
      </c>
      <c r="F40" s="44">
        <v>1350</v>
      </c>
      <c r="G40" s="44">
        <v>75</v>
      </c>
      <c r="H40" s="44">
        <f>550/61*G40</f>
        <v>676.2295081967213</v>
      </c>
      <c r="I40" s="44">
        <v>200</v>
      </c>
      <c r="J40" s="44">
        <f>2325/85*I40</f>
        <v>5470.588235294117</v>
      </c>
      <c r="K40" s="44">
        <v>50</v>
      </c>
      <c r="L40" s="44">
        <f>30/2*K40</f>
        <v>750</v>
      </c>
      <c r="M40" s="44">
        <v>0</v>
      </c>
      <c r="N40" s="44">
        <v>0</v>
      </c>
      <c r="O40" s="44">
        <v>20</v>
      </c>
      <c r="P40" s="44">
        <f>180/13*O40</f>
        <v>276.9230769230769</v>
      </c>
      <c r="Q40" s="44">
        <v>10</v>
      </c>
      <c r="R40" s="44">
        <f>215/8*Q40</f>
        <v>268.75</v>
      </c>
      <c r="T40" s="43" t="s">
        <v>59</v>
      </c>
      <c r="U40" s="44">
        <v>30</v>
      </c>
      <c r="V40" s="44">
        <f>650/25*U40</f>
        <v>780</v>
      </c>
      <c r="W40" s="44">
        <v>0</v>
      </c>
      <c r="X40" s="44">
        <v>0</v>
      </c>
      <c r="Y40" s="44">
        <v>200</v>
      </c>
      <c r="Z40" s="44">
        <f>1960/145*Y40</f>
        <v>2703.448275862069</v>
      </c>
      <c r="AA40" s="44">
        <v>30</v>
      </c>
      <c r="AB40" s="44">
        <f>232/27*AA40</f>
        <v>257.7777777777778</v>
      </c>
      <c r="AC40" s="44">
        <v>200</v>
      </c>
      <c r="AD40" s="44">
        <f>2232/161*AC40</f>
        <v>2772.6708074534163</v>
      </c>
      <c r="AE40" s="44">
        <v>200</v>
      </c>
      <c r="AF40" s="44">
        <f>1998/122*AE40</f>
        <v>3275.409836065574</v>
      </c>
      <c r="AG40" s="44">
        <v>150</v>
      </c>
      <c r="AH40" s="44">
        <f>2180/112*AG40</f>
        <v>2919.6428571428573</v>
      </c>
      <c r="AI40" s="44">
        <v>75</v>
      </c>
      <c r="AJ40" s="44">
        <f>1162/59*AI40</f>
        <v>1477.1186440677966</v>
      </c>
      <c r="AL40" s="43" t="s">
        <v>59</v>
      </c>
      <c r="AM40" s="44">
        <v>60</v>
      </c>
      <c r="AN40" s="44">
        <f>1144/58*AM40</f>
        <v>1183.448275862069</v>
      </c>
      <c r="AO40" s="44">
        <v>250</v>
      </c>
      <c r="AP40" s="44">
        <f>2640/135*AO40</f>
        <v>4888.88888888889</v>
      </c>
      <c r="AQ40" s="44">
        <v>170.2554812626341</v>
      </c>
      <c r="AR40" s="44">
        <f>2921/167*AQ40</f>
        <v>2977.9416812464324</v>
      </c>
      <c r="AS40" s="44">
        <v>30</v>
      </c>
      <c r="AT40" s="44">
        <f>294/22*AS40</f>
        <v>400.9090909090909</v>
      </c>
      <c r="AU40" s="44">
        <v>120</v>
      </c>
      <c r="AV40" s="44">
        <f>1751/103*AU40</f>
        <v>2040</v>
      </c>
      <c r="AW40" s="44">
        <v>0</v>
      </c>
      <c r="AX40" s="44">
        <f>382/44*AW40</f>
        <v>0</v>
      </c>
      <c r="AY40" s="44">
        <v>0</v>
      </c>
      <c r="AZ40" s="44">
        <v>0</v>
      </c>
      <c r="BB40" s="43" t="s">
        <v>59</v>
      </c>
      <c r="BC40" s="44">
        <v>0</v>
      </c>
      <c r="BD40" s="44">
        <v>0</v>
      </c>
      <c r="BE40" s="44">
        <v>90.94092526690392</v>
      </c>
      <c r="BF40" s="44">
        <f>1208/196*BE40</f>
        <v>560.4930496041834</v>
      </c>
      <c r="BG40" s="44">
        <v>28.93097128894319</v>
      </c>
      <c r="BH40" s="44">
        <f>1040/61*BG40</f>
        <v>493.24934656558884</v>
      </c>
    </row>
    <row r="41" spans="2:60" ht="15">
      <c r="B41" s="43" t="s">
        <v>60</v>
      </c>
      <c r="C41" s="44"/>
      <c r="D41" s="44"/>
      <c r="E41" s="44">
        <v>0</v>
      </c>
      <c r="F41" s="44"/>
      <c r="G41" s="44">
        <v>7</v>
      </c>
      <c r="H41" s="44">
        <f aca="true" t="shared" si="9" ref="H41:H46">550/61*G41</f>
        <v>63.114754098360656</v>
      </c>
      <c r="I41" s="44">
        <v>90</v>
      </c>
      <c r="J41" s="44">
        <f aca="true" t="shared" si="10" ref="J41:J46">2325/85*I41</f>
        <v>2461.7647058823527</v>
      </c>
      <c r="K41" s="44">
        <v>5</v>
      </c>
      <c r="L41" s="44">
        <f aca="true" t="shared" si="11" ref="L41:L46">30/2*K41</f>
        <v>75</v>
      </c>
      <c r="M41" s="44"/>
      <c r="N41" s="44"/>
      <c r="O41" s="44">
        <v>5</v>
      </c>
      <c r="P41" s="44">
        <f aca="true" t="shared" si="12" ref="P41:P46">180/13*O41</f>
        <v>69.23076923076923</v>
      </c>
      <c r="Q41" s="44">
        <v>35</v>
      </c>
      <c r="R41" s="44">
        <f aca="true" t="shared" si="13" ref="R41:R46">215/8*Q41</f>
        <v>940.625</v>
      </c>
      <c r="T41" s="43" t="s">
        <v>60</v>
      </c>
      <c r="U41" s="44">
        <v>5</v>
      </c>
      <c r="V41" s="44">
        <f aca="true" t="shared" si="14" ref="V41:V46">650/25*U41</f>
        <v>130</v>
      </c>
      <c r="W41" s="44"/>
      <c r="X41" s="44"/>
      <c r="Y41" s="44">
        <v>10</v>
      </c>
      <c r="Z41" s="44">
        <f aca="true" t="shared" si="15" ref="Z41:Z46">1960/145*Y41</f>
        <v>135.17241379310346</v>
      </c>
      <c r="AA41" s="44">
        <v>30</v>
      </c>
      <c r="AB41" s="44">
        <f aca="true" t="shared" si="16" ref="AB41:AB46">232/27*AA41</f>
        <v>257.7777777777778</v>
      </c>
      <c r="AC41" s="44">
        <v>160</v>
      </c>
      <c r="AD41" s="44">
        <f aca="true" t="shared" si="17" ref="AD41:AD46">2232/161*AC41</f>
        <v>2218.136645962733</v>
      </c>
      <c r="AE41" s="44">
        <v>110</v>
      </c>
      <c r="AF41" s="44">
        <f aca="true" t="shared" si="18" ref="AF41:AF46">1998/122*AE41</f>
        <v>1801.4754098360656</v>
      </c>
      <c r="AG41" s="44">
        <v>150</v>
      </c>
      <c r="AH41" s="44">
        <f aca="true" t="shared" si="19" ref="AH41:AH46">2180/112*AG41</f>
        <v>2919.6428571428573</v>
      </c>
      <c r="AI41" s="44">
        <v>130</v>
      </c>
      <c r="AJ41" s="44">
        <f aca="true" t="shared" si="20" ref="AJ41:AJ46">1162/59*AI41</f>
        <v>2560.338983050847</v>
      </c>
      <c r="AL41" s="43" t="s">
        <v>60</v>
      </c>
      <c r="AM41" s="44">
        <v>120</v>
      </c>
      <c r="AN41" s="44">
        <f aca="true" t="shared" si="21" ref="AN41:AN46">1144/58*AM41</f>
        <v>2366.896551724138</v>
      </c>
      <c r="AO41" s="44">
        <v>110</v>
      </c>
      <c r="AP41" s="44">
        <f aca="true" t="shared" si="22" ref="AP41:AP46">2640/135*AO41</f>
        <v>2151.1111111111113</v>
      </c>
      <c r="AQ41" s="44">
        <v>185</v>
      </c>
      <c r="AR41" s="44">
        <f aca="true" t="shared" si="23" ref="AR41:AR46">2921/167*AQ41</f>
        <v>3235.838323353293</v>
      </c>
      <c r="AS41" s="44">
        <v>45</v>
      </c>
      <c r="AT41" s="44">
        <f aca="true" t="shared" si="24" ref="AT41:AT46">294/22*AS41</f>
        <v>601.3636363636364</v>
      </c>
      <c r="AU41" s="44">
        <v>35</v>
      </c>
      <c r="AV41" s="44">
        <f aca="true" t="shared" si="25" ref="AV41:AV46">1751/103*AU41</f>
        <v>595</v>
      </c>
      <c r="AW41" s="44">
        <v>50</v>
      </c>
      <c r="AX41" s="44">
        <f aca="true" t="shared" si="26" ref="AX41:AX46">382/44*AW41</f>
        <v>434.09090909090907</v>
      </c>
      <c r="AY41" s="44"/>
      <c r="AZ41" s="44"/>
      <c r="BB41" s="43" t="s">
        <v>60</v>
      </c>
      <c r="BC41" s="44">
        <v>65</v>
      </c>
      <c r="BD41" s="44">
        <v>650</v>
      </c>
      <c r="BE41" s="44">
        <v>80</v>
      </c>
      <c r="BF41" s="44">
        <f aca="true" t="shared" si="27" ref="BF41:BF46">1208/196*BE41</f>
        <v>493.0612244897959</v>
      </c>
      <c r="BG41" s="44">
        <v>40</v>
      </c>
      <c r="BH41" s="44">
        <f aca="true" t="shared" si="28" ref="BH41:BH46">1040/61*BG41</f>
        <v>681.9672131147541</v>
      </c>
    </row>
    <row r="42" spans="2:60" ht="15">
      <c r="B42" s="43" t="s">
        <v>131</v>
      </c>
      <c r="C42" s="44"/>
      <c r="D42" s="44"/>
      <c r="E42" s="44">
        <v>100</v>
      </c>
      <c r="F42" s="44">
        <f>1245/91*E42</f>
        <v>1368.131868131868</v>
      </c>
      <c r="G42" s="44">
        <v>70</v>
      </c>
      <c r="H42" s="44">
        <f t="shared" si="9"/>
        <v>631.1475409836065</v>
      </c>
      <c r="I42" s="44">
        <v>145</v>
      </c>
      <c r="J42" s="44">
        <f t="shared" si="10"/>
        <v>3966.176470588235</v>
      </c>
      <c r="K42" s="44">
        <v>45</v>
      </c>
      <c r="L42" s="44">
        <f t="shared" si="11"/>
        <v>675</v>
      </c>
      <c r="M42" s="44"/>
      <c r="N42" s="44"/>
      <c r="O42" s="44">
        <v>15</v>
      </c>
      <c r="P42" s="44">
        <f t="shared" si="12"/>
        <v>207.6923076923077</v>
      </c>
      <c r="Q42" s="44">
        <v>10</v>
      </c>
      <c r="R42" s="44">
        <f t="shared" si="13"/>
        <v>268.75</v>
      </c>
      <c r="T42" s="43" t="s">
        <v>131</v>
      </c>
      <c r="U42" s="44">
        <v>30</v>
      </c>
      <c r="V42" s="44">
        <f t="shared" si="14"/>
        <v>780</v>
      </c>
      <c r="W42" s="44"/>
      <c r="X42" s="44"/>
      <c r="Y42" s="44">
        <v>155</v>
      </c>
      <c r="Z42" s="44">
        <f t="shared" si="15"/>
        <v>2095.1724137931037</v>
      </c>
      <c r="AA42" s="44">
        <v>35</v>
      </c>
      <c r="AB42" s="44">
        <f t="shared" si="16"/>
        <v>300.74074074074076</v>
      </c>
      <c r="AC42" s="44">
        <v>170</v>
      </c>
      <c r="AD42" s="44">
        <f t="shared" si="17"/>
        <v>2356.7701863354037</v>
      </c>
      <c r="AE42" s="44">
        <v>130</v>
      </c>
      <c r="AF42" s="44">
        <f t="shared" si="18"/>
        <v>2129.016393442623</v>
      </c>
      <c r="AG42" s="44">
        <v>118</v>
      </c>
      <c r="AH42" s="44">
        <f t="shared" si="19"/>
        <v>2296.785714285714</v>
      </c>
      <c r="AI42" s="44">
        <v>65</v>
      </c>
      <c r="AJ42" s="44">
        <f t="shared" si="20"/>
        <v>1280.1694915254236</v>
      </c>
      <c r="AL42" s="43" t="s">
        <v>131</v>
      </c>
      <c r="AM42" s="44">
        <v>65</v>
      </c>
      <c r="AN42" s="44">
        <f t="shared" si="21"/>
        <v>1282.0689655172414</v>
      </c>
      <c r="AO42" s="44">
        <v>145</v>
      </c>
      <c r="AP42" s="44">
        <f t="shared" si="22"/>
        <v>2835.5555555555557</v>
      </c>
      <c r="AQ42" s="44">
        <v>175</v>
      </c>
      <c r="AR42" s="44">
        <f t="shared" si="23"/>
        <v>3060.9281437125746</v>
      </c>
      <c r="AS42" s="44">
        <v>30</v>
      </c>
      <c r="AT42" s="44">
        <f t="shared" si="24"/>
        <v>400.9090909090909</v>
      </c>
      <c r="AU42" s="44">
        <v>115</v>
      </c>
      <c r="AV42" s="44">
        <f t="shared" si="25"/>
        <v>1955</v>
      </c>
      <c r="AW42" s="44">
        <v>45</v>
      </c>
      <c r="AX42" s="44">
        <f t="shared" si="26"/>
        <v>390.6818181818182</v>
      </c>
      <c r="AY42" s="44"/>
      <c r="AZ42" s="44"/>
      <c r="BB42" s="43" t="s">
        <v>131</v>
      </c>
      <c r="BC42" s="44">
        <v>110</v>
      </c>
      <c r="BD42" s="44">
        <v>1100</v>
      </c>
      <c r="BE42" s="44">
        <v>200</v>
      </c>
      <c r="BF42" s="44">
        <f t="shared" si="27"/>
        <v>1232.6530612244899</v>
      </c>
      <c r="BG42" s="44">
        <v>70</v>
      </c>
      <c r="BH42" s="44">
        <f t="shared" si="28"/>
        <v>1193.4426229508197</v>
      </c>
    </row>
    <row r="43" spans="2:60" ht="15">
      <c r="B43" s="43" t="s">
        <v>52</v>
      </c>
      <c r="C43" s="44"/>
      <c r="D43" s="44"/>
      <c r="E43" s="44">
        <v>15</v>
      </c>
      <c r="F43" s="44">
        <f>1245/91*E43</f>
        <v>205.2197802197802</v>
      </c>
      <c r="G43" s="44">
        <v>20</v>
      </c>
      <c r="H43" s="44">
        <f t="shared" si="9"/>
        <v>180.327868852459</v>
      </c>
      <c r="I43" s="44">
        <v>30</v>
      </c>
      <c r="J43" s="44">
        <f t="shared" si="10"/>
        <v>820.5882352941176</v>
      </c>
      <c r="K43" s="44">
        <v>15</v>
      </c>
      <c r="L43" s="44">
        <f t="shared" si="11"/>
        <v>225</v>
      </c>
      <c r="M43" s="44"/>
      <c r="N43" s="44"/>
      <c r="O43" s="44">
        <v>7</v>
      </c>
      <c r="P43" s="44">
        <f t="shared" si="12"/>
        <v>96.92307692307693</v>
      </c>
      <c r="Q43" s="44">
        <v>50</v>
      </c>
      <c r="R43" s="44">
        <f t="shared" si="13"/>
        <v>1343.75</v>
      </c>
      <c r="T43" s="43" t="s">
        <v>52</v>
      </c>
      <c r="U43" s="44">
        <v>10</v>
      </c>
      <c r="V43" s="44">
        <f t="shared" si="14"/>
        <v>260</v>
      </c>
      <c r="W43" s="44"/>
      <c r="X43" s="44"/>
      <c r="Y43" s="44">
        <v>20</v>
      </c>
      <c r="Z43" s="44">
        <f t="shared" si="15"/>
        <v>270.3448275862069</v>
      </c>
      <c r="AA43" s="44">
        <v>20</v>
      </c>
      <c r="AB43" s="44">
        <f t="shared" si="16"/>
        <v>171.85185185185188</v>
      </c>
      <c r="AC43" s="44">
        <v>30</v>
      </c>
      <c r="AD43" s="44">
        <f t="shared" si="17"/>
        <v>415.90062111801245</v>
      </c>
      <c r="AE43" s="44">
        <v>30</v>
      </c>
      <c r="AF43" s="44">
        <f t="shared" si="18"/>
        <v>491.3114754098361</v>
      </c>
      <c r="AG43" s="44">
        <v>10</v>
      </c>
      <c r="AH43" s="44">
        <f t="shared" si="19"/>
        <v>194.64285714285717</v>
      </c>
      <c r="AI43" s="44">
        <v>20</v>
      </c>
      <c r="AJ43" s="44">
        <f t="shared" si="20"/>
        <v>393.89830508474574</v>
      </c>
      <c r="AL43" s="43" t="s">
        <v>52</v>
      </c>
      <c r="AM43" s="44">
        <v>30</v>
      </c>
      <c r="AN43" s="44">
        <f t="shared" si="21"/>
        <v>591.7241379310345</v>
      </c>
      <c r="AO43" s="44">
        <v>50</v>
      </c>
      <c r="AP43" s="44">
        <f t="shared" si="22"/>
        <v>977.7777777777778</v>
      </c>
      <c r="AQ43" s="44">
        <v>50</v>
      </c>
      <c r="AR43" s="44">
        <f t="shared" si="23"/>
        <v>874.5508982035927</v>
      </c>
      <c r="AS43" s="44">
        <v>10</v>
      </c>
      <c r="AT43" s="44">
        <f t="shared" si="24"/>
        <v>133.63636363636363</v>
      </c>
      <c r="AU43" s="44">
        <v>15</v>
      </c>
      <c r="AV43" s="44">
        <f t="shared" si="25"/>
        <v>255</v>
      </c>
      <c r="AW43" s="44">
        <v>10</v>
      </c>
      <c r="AX43" s="44">
        <f t="shared" si="26"/>
        <v>86.81818181818181</v>
      </c>
      <c r="AY43" s="44"/>
      <c r="AZ43" s="44"/>
      <c r="BB43" s="43" t="s">
        <v>52</v>
      </c>
      <c r="BC43" s="44"/>
      <c r="BD43" s="44"/>
      <c r="BE43" s="44">
        <v>160</v>
      </c>
      <c r="BF43" s="44">
        <f t="shared" si="27"/>
        <v>986.1224489795918</v>
      </c>
      <c r="BG43" s="44">
        <v>25</v>
      </c>
      <c r="BH43" s="44">
        <f t="shared" si="28"/>
        <v>426.2295081967213</v>
      </c>
    </row>
    <row r="44" spans="2:60" ht="15">
      <c r="B44" s="43" t="s">
        <v>53</v>
      </c>
      <c r="C44" s="44"/>
      <c r="D44" s="44"/>
      <c r="E44" s="44">
        <v>25</v>
      </c>
      <c r="F44" s="44">
        <f>1245/91*E44</f>
        <v>342.032967032967</v>
      </c>
      <c r="G44" s="44">
        <v>30</v>
      </c>
      <c r="H44" s="44">
        <f t="shared" si="9"/>
        <v>270.4918032786885</v>
      </c>
      <c r="I44" s="44">
        <v>15</v>
      </c>
      <c r="J44" s="44">
        <f t="shared" si="10"/>
        <v>410.2941176470588</v>
      </c>
      <c r="K44" s="44">
        <v>10</v>
      </c>
      <c r="L44" s="44">
        <f t="shared" si="11"/>
        <v>150</v>
      </c>
      <c r="M44" s="44"/>
      <c r="N44" s="44"/>
      <c r="O44" s="44">
        <v>7</v>
      </c>
      <c r="P44" s="44">
        <f t="shared" si="12"/>
        <v>96.92307692307693</v>
      </c>
      <c r="Q44" s="44">
        <v>30</v>
      </c>
      <c r="R44" s="44">
        <f t="shared" si="13"/>
        <v>806.25</v>
      </c>
      <c r="T44" s="43" t="s">
        <v>53</v>
      </c>
      <c r="U44" s="44">
        <v>0</v>
      </c>
      <c r="V44" s="44">
        <f t="shared" si="14"/>
        <v>0</v>
      </c>
      <c r="W44" s="44"/>
      <c r="X44" s="44"/>
      <c r="Y44" s="44">
        <v>0</v>
      </c>
      <c r="Z44" s="44">
        <f t="shared" si="15"/>
        <v>0</v>
      </c>
      <c r="AA44" s="44">
        <v>30</v>
      </c>
      <c r="AB44" s="44">
        <f t="shared" si="16"/>
        <v>257.7777777777778</v>
      </c>
      <c r="AC44" s="44">
        <v>55</v>
      </c>
      <c r="AD44" s="44">
        <f t="shared" si="17"/>
        <v>762.4844720496894</v>
      </c>
      <c r="AE44" s="44">
        <v>45</v>
      </c>
      <c r="AF44" s="44">
        <f t="shared" si="18"/>
        <v>736.9672131147541</v>
      </c>
      <c r="AG44" s="44">
        <v>30</v>
      </c>
      <c r="AH44" s="44">
        <f t="shared" si="19"/>
        <v>583.9285714285714</v>
      </c>
      <c r="AI44" s="44">
        <v>25</v>
      </c>
      <c r="AJ44" s="44">
        <f t="shared" si="20"/>
        <v>492.3728813559322</v>
      </c>
      <c r="AL44" s="43" t="s">
        <v>53</v>
      </c>
      <c r="AM44" s="44">
        <v>38</v>
      </c>
      <c r="AN44" s="44">
        <f t="shared" si="21"/>
        <v>749.5172413793103</v>
      </c>
      <c r="AO44" s="44">
        <v>70</v>
      </c>
      <c r="AP44" s="44">
        <f t="shared" si="22"/>
        <v>1368.888888888889</v>
      </c>
      <c r="AQ44" s="44">
        <v>80</v>
      </c>
      <c r="AR44" s="44">
        <f t="shared" si="23"/>
        <v>1399.2814371257484</v>
      </c>
      <c r="AS44" s="44">
        <v>20</v>
      </c>
      <c r="AT44" s="44">
        <f t="shared" si="24"/>
        <v>267.27272727272725</v>
      </c>
      <c r="AU44" s="44">
        <v>20</v>
      </c>
      <c r="AV44" s="44">
        <f t="shared" si="25"/>
        <v>340</v>
      </c>
      <c r="AW44" s="44">
        <v>40</v>
      </c>
      <c r="AX44" s="44">
        <f t="shared" si="26"/>
        <v>347.27272727272725</v>
      </c>
      <c r="AY44" s="44"/>
      <c r="AZ44" s="44"/>
      <c r="BB44" s="43" t="s">
        <v>53</v>
      </c>
      <c r="BC44" s="44"/>
      <c r="BD44" s="44"/>
      <c r="BE44" s="44"/>
      <c r="BF44" s="44">
        <f t="shared" si="27"/>
        <v>0</v>
      </c>
      <c r="BG44" s="44"/>
      <c r="BH44" s="44">
        <f t="shared" si="28"/>
        <v>0</v>
      </c>
    </row>
    <row r="45" spans="2:60" ht="15">
      <c r="B45" s="43" t="s">
        <v>54</v>
      </c>
      <c r="C45" s="44"/>
      <c r="D45" s="44"/>
      <c r="E45" s="44">
        <v>15</v>
      </c>
      <c r="F45" s="44">
        <f>1245/91*E45</f>
        <v>205.2197802197802</v>
      </c>
      <c r="G45" s="44">
        <v>10</v>
      </c>
      <c r="H45" s="44">
        <f t="shared" si="9"/>
        <v>90.1639344262295</v>
      </c>
      <c r="I45" s="44">
        <v>7</v>
      </c>
      <c r="J45" s="44">
        <f t="shared" si="10"/>
        <v>191.47058823529412</v>
      </c>
      <c r="K45" s="44">
        <v>5</v>
      </c>
      <c r="L45" s="44">
        <f t="shared" si="11"/>
        <v>75</v>
      </c>
      <c r="M45" s="44"/>
      <c r="N45" s="44"/>
      <c r="O45" s="44">
        <v>0</v>
      </c>
      <c r="P45" s="44">
        <f t="shared" si="12"/>
        <v>0</v>
      </c>
      <c r="Q45" s="44">
        <v>5</v>
      </c>
      <c r="R45" s="44">
        <f t="shared" si="13"/>
        <v>134.375</v>
      </c>
      <c r="T45" s="43" t="s">
        <v>54</v>
      </c>
      <c r="U45" s="44">
        <v>5</v>
      </c>
      <c r="V45" s="44">
        <f t="shared" si="14"/>
        <v>130</v>
      </c>
      <c r="W45" s="44"/>
      <c r="X45" s="44"/>
      <c r="Y45" s="44">
        <v>0</v>
      </c>
      <c r="Z45" s="44">
        <f t="shared" si="15"/>
        <v>0</v>
      </c>
      <c r="AA45" s="44">
        <v>5</v>
      </c>
      <c r="AB45" s="44">
        <f t="shared" si="16"/>
        <v>42.96296296296297</v>
      </c>
      <c r="AC45" s="44">
        <v>20</v>
      </c>
      <c r="AD45" s="44">
        <f t="shared" si="17"/>
        <v>277.2670807453416</v>
      </c>
      <c r="AE45" s="44">
        <v>122</v>
      </c>
      <c r="AF45" s="44">
        <f t="shared" si="18"/>
        <v>1998</v>
      </c>
      <c r="AG45" s="44">
        <v>0</v>
      </c>
      <c r="AH45" s="44">
        <f t="shared" si="19"/>
        <v>0</v>
      </c>
      <c r="AI45" s="44">
        <v>15</v>
      </c>
      <c r="AJ45" s="44">
        <f t="shared" si="20"/>
        <v>295.4237288135593</v>
      </c>
      <c r="AL45" s="43" t="s">
        <v>54</v>
      </c>
      <c r="AM45" s="44">
        <v>15</v>
      </c>
      <c r="AN45" s="44">
        <f t="shared" si="21"/>
        <v>295.86206896551727</v>
      </c>
      <c r="AO45" s="44">
        <v>30</v>
      </c>
      <c r="AP45" s="44">
        <f t="shared" si="22"/>
        <v>586.6666666666667</v>
      </c>
      <c r="AQ45" s="44">
        <v>20</v>
      </c>
      <c r="AR45" s="44">
        <f t="shared" si="23"/>
        <v>349.8203592814371</v>
      </c>
      <c r="AS45" s="44">
        <v>5</v>
      </c>
      <c r="AT45" s="44">
        <f t="shared" si="24"/>
        <v>66.81818181818181</v>
      </c>
      <c r="AU45" s="44">
        <v>5</v>
      </c>
      <c r="AV45" s="44">
        <f t="shared" si="25"/>
        <v>85</v>
      </c>
      <c r="AW45" s="44">
        <v>5</v>
      </c>
      <c r="AX45" s="44">
        <f t="shared" si="26"/>
        <v>43.40909090909091</v>
      </c>
      <c r="AY45" s="44"/>
      <c r="AZ45" s="44"/>
      <c r="BB45" s="43" t="s">
        <v>54</v>
      </c>
      <c r="BC45" s="44"/>
      <c r="BD45" s="44"/>
      <c r="BE45" s="44">
        <v>60</v>
      </c>
      <c r="BF45" s="44">
        <f t="shared" si="27"/>
        <v>369.7959183673469</v>
      </c>
      <c r="BG45" s="44"/>
      <c r="BH45" s="44">
        <f t="shared" si="28"/>
        <v>0</v>
      </c>
    </row>
    <row r="46" spans="2:60" ht="15">
      <c r="B46" s="43" t="s">
        <v>132</v>
      </c>
      <c r="C46" s="44"/>
      <c r="D46" s="44"/>
      <c r="E46" s="44">
        <v>5</v>
      </c>
      <c r="F46" s="44">
        <f>1245/91*E46</f>
        <v>68.4065934065934</v>
      </c>
      <c r="G46" s="44">
        <v>8</v>
      </c>
      <c r="H46" s="44">
        <f t="shared" si="9"/>
        <v>72.1311475409836</v>
      </c>
      <c r="I46" s="44">
        <v>10</v>
      </c>
      <c r="J46" s="44">
        <f t="shared" si="10"/>
        <v>273.52941176470586</v>
      </c>
      <c r="K46" s="44">
        <v>0</v>
      </c>
      <c r="L46" s="44">
        <f t="shared" si="11"/>
        <v>0</v>
      </c>
      <c r="M46" s="44"/>
      <c r="N46" s="44"/>
      <c r="O46" s="44">
        <v>5</v>
      </c>
      <c r="P46" s="44">
        <f t="shared" si="12"/>
        <v>69.23076923076923</v>
      </c>
      <c r="Q46" s="44">
        <v>7</v>
      </c>
      <c r="R46" s="44">
        <f t="shared" si="13"/>
        <v>188.125</v>
      </c>
      <c r="T46" s="43" t="s">
        <v>132</v>
      </c>
      <c r="U46" s="44">
        <v>0</v>
      </c>
      <c r="V46" s="44">
        <f t="shared" si="14"/>
        <v>0</v>
      </c>
      <c r="W46" s="44"/>
      <c r="X46" s="44"/>
      <c r="Y46" s="44">
        <v>12</v>
      </c>
      <c r="Z46" s="44">
        <f t="shared" si="15"/>
        <v>162.20689655172413</v>
      </c>
      <c r="AA46" s="44">
        <v>5</v>
      </c>
      <c r="AB46" s="44">
        <f t="shared" si="16"/>
        <v>42.96296296296297</v>
      </c>
      <c r="AC46" s="44">
        <v>15</v>
      </c>
      <c r="AD46" s="44">
        <f t="shared" si="17"/>
        <v>207.95031055900623</v>
      </c>
      <c r="AE46" s="44">
        <v>15</v>
      </c>
      <c r="AF46" s="44">
        <f t="shared" si="18"/>
        <v>245.65573770491804</v>
      </c>
      <c r="AG46" s="44">
        <v>10</v>
      </c>
      <c r="AH46" s="44">
        <f t="shared" si="19"/>
        <v>194.64285714285717</v>
      </c>
      <c r="AI46" s="44">
        <v>12</v>
      </c>
      <c r="AJ46" s="44">
        <f t="shared" si="20"/>
        <v>236.33898305084745</v>
      </c>
      <c r="AL46" s="43" t="s">
        <v>132</v>
      </c>
      <c r="AM46" s="44">
        <v>15</v>
      </c>
      <c r="AN46" s="44">
        <f t="shared" si="21"/>
        <v>295.86206896551727</v>
      </c>
      <c r="AO46" s="44">
        <v>15</v>
      </c>
      <c r="AP46" s="44">
        <f t="shared" si="22"/>
        <v>293.33333333333337</v>
      </c>
      <c r="AQ46" s="44">
        <v>20</v>
      </c>
      <c r="AR46" s="44">
        <f t="shared" si="23"/>
        <v>349.8203592814371</v>
      </c>
      <c r="AS46" s="44">
        <v>8</v>
      </c>
      <c r="AT46" s="44">
        <f t="shared" si="24"/>
        <v>106.9090909090909</v>
      </c>
      <c r="AU46" s="44">
        <v>10</v>
      </c>
      <c r="AV46" s="44">
        <f t="shared" si="25"/>
        <v>170</v>
      </c>
      <c r="AW46" s="44">
        <v>10</v>
      </c>
      <c r="AX46" s="44">
        <f t="shared" si="26"/>
        <v>86.81818181818181</v>
      </c>
      <c r="AY46" s="44"/>
      <c r="AZ46" s="44"/>
      <c r="BB46" s="43" t="s">
        <v>132</v>
      </c>
      <c r="BC46" s="44">
        <v>15</v>
      </c>
      <c r="BD46" s="44">
        <v>150</v>
      </c>
      <c r="BE46" s="44">
        <v>5</v>
      </c>
      <c r="BF46" s="44">
        <f t="shared" si="27"/>
        <v>30.816326530612244</v>
      </c>
      <c r="BG46" s="44">
        <v>5</v>
      </c>
      <c r="BH46" s="44">
        <f t="shared" si="28"/>
        <v>85.24590163934427</v>
      </c>
    </row>
    <row r="47" spans="2:61" ht="15.75" thickBot="1">
      <c r="B47" s="53" t="s">
        <v>133</v>
      </c>
      <c r="C47" s="54">
        <f>SUM(C40:C46)</f>
        <v>0</v>
      </c>
      <c r="D47" s="54">
        <f aca="true" t="shared" si="29" ref="D47:J47">SUM(D40:D46)</f>
        <v>0</v>
      </c>
      <c r="E47" s="54">
        <f t="shared" si="29"/>
        <v>260</v>
      </c>
      <c r="F47" s="54">
        <f t="shared" si="29"/>
        <v>3539.010989010989</v>
      </c>
      <c r="G47" s="54">
        <f t="shared" si="29"/>
        <v>220</v>
      </c>
      <c r="H47" s="54">
        <f t="shared" si="29"/>
        <v>1983.606557377049</v>
      </c>
      <c r="I47" s="54">
        <f t="shared" si="29"/>
        <v>497</v>
      </c>
      <c r="J47" s="54">
        <f t="shared" si="29"/>
        <v>13594.411764705883</v>
      </c>
      <c r="K47" s="54">
        <f>SUM(K40:K46)</f>
        <v>130</v>
      </c>
      <c r="L47" s="54">
        <f aca="true" t="shared" si="30" ref="L47:R47">SUM(L40:L46)</f>
        <v>1950</v>
      </c>
      <c r="M47" s="54">
        <f t="shared" si="30"/>
        <v>0</v>
      </c>
      <c r="N47" s="54">
        <f t="shared" si="30"/>
        <v>0</v>
      </c>
      <c r="O47" s="54">
        <f t="shared" si="30"/>
        <v>59</v>
      </c>
      <c r="P47" s="54">
        <f t="shared" si="30"/>
        <v>816.9230769230769</v>
      </c>
      <c r="Q47" s="54">
        <f t="shared" si="30"/>
        <v>147</v>
      </c>
      <c r="R47" s="54">
        <f t="shared" si="30"/>
        <v>3950.625</v>
      </c>
      <c r="T47" s="53" t="s">
        <v>133</v>
      </c>
      <c r="U47" s="54">
        <f>SUM(U40:U46)</f>
        <v>80</v>
      </c>
      <c r="V47" s="54">
        <f aca="true" t="shared" si="31" ref="V47:AB47">SUM(V40:V46)</f>
        <v>2080</v>
      </c>
      <c r="W47" s="54">
        <f t="shared" si="31"/>
        <v>0</v>
      </c>
      <c r="X47" s="54">
        <f t="shared" si="31"/>
        <v>0</v>
      </c>
      <c r="Y47" s="54">
        <f t="shared" si="31"/>
        <v>397</v>
      </c>
      <c r="Z47" s="54">
        <f t="shared" si="31"/>
        <v>5366.344827586206</v>
      </c>
      <c r="AA47" s="54">
        <f t="shared" si="31"/>
        <v>155</v>
      </c>
      <c r="AB47" s="54">
        <f t="shared" si="31"/>
        <v>1331.8518518518522</v>
      </c>
      <c r="AC47" s="54">
        <f>SUM(AC40:AC46)</f>
        <v>650</v>
      </c>
      <c r="AD47" s="54">
        <f aca="true" t="shared" si="32" ref="AD47:AJ47">SUM(AD40:AD46)</f>
        <v>9011.180124223603</v>
      </c>
      <c r="AE47" s="54">
        <f t="shared" si="32"/>
        <v>652</v>
      </c>
      <c r="AF47" s="54">
        <f t="shared" si="32"/>
        <v>10677.83606557377</v>
      </c>
      <c r="AG47" s="54">
        <f t="shared" si="32"/>
        <v>468</v>
      </c>
      <c r="AH47" s="54">
        <f t="shared" si="32"/>
        <v>9109.285714285714</v>
      </c>
      <c r="AI47" s="54">
        <f t="shared" si="32"/>
        <v>342</v>
      </c>
      <c r="AJ47" s="54">
        <f t="shared" si="32"/>
        <v>6735.661016949151</v>
      </c>
      <c r="AL47" s="53" t="s">
        <v>133</v>
      </c>
      <c r="AM47" s="54">
        <f>SUM(AM40:AM46)</f>
        <v>343</v>
      </c>
      <c r="AN47" s="54">
        <f aca="true" t="shared" si="33" ref="AN47:AT47">SUM(AN40:AN46)</f>
        <v>6765.379310344829</v>
      </c>
      <c r="AO47" s="54">
        <f t="shared" si="33"/>
        <v>670</v>
      </c>
      <c r="AP47" s="54">
        <f t="shared" si="33"/>
        <v>13102.222222222223</v>
      </c>
      <c r="AQ47" s="54">
        <f t="shared" si="33"/>
        <v>700.2554812626341</v>
      </c>
      <c r="AR47" s="54">
        <f t="shared" si="33"/>
        <v>12248.181202204516</v>
      </c>
      <c r="AS47" s="54">
        <f t="shared" si="33"/>
        <v>148</v>
      </c>
      <c r="AT47" s="54">
        <f t="shared" si="33"/>
        <v>1977.8181818181815</v>
      </c>
      <c r="AU47" s="54">
        <f aca="true" t="shared" si="34" ref="AU47:AZ47">SUM(AU40:AU46)</f>
        <v>320</v>
      </c>
      <c r="AV47" s="54">
        <f t="shared" si="34"/>
        <v>5440</v>
      </c>
      <c r="AW47" s="54">
        <f t="shared" si="34"/>
        <v>160</v>
      </c>
      <c r="AX47" s="54">
        <f t="shared" si="34"/>
        <v>1389.090909090909</v>
      </c>
      <c r="AY47" s="54">
        <f t="shared" si="34"/>
        <v>0</v>
      </c>
      <c r="AZ47" s="54">
        <f t="shared" si="34"/>
        <v>0</v>
      </c>
      <c r="BB47" s="53" t="s">
        <v>133</v>
      </c>
      <c r="BC47" s="54">
        <f aca="true" t="shared" si="35" ref="BC47:BH47">SUM(BC40:BC46)</f>
        <v>190</v>
      </c>
      <c r="BD47" s="54">
        <f t="shared" si="35"/>
        <v>1900</v>
      </c>
      <c r="BE47" s="54">
        <f t="shared" si="35"/>
        <v>595.940925266904</v>
      </c>
      <c r="BF47" s="54">
        <f t="shared" si="35"/>
        <v>3672.94202919602</v>
      </c>
      <c r="BG47" s="54">
        <f t="shared" si="35"/>
        <v>168.9309712889432</v>
      </c>
      <c r="BH47" s="54">
        <f t="shared" si="35"/>
        <v>2880.134592467228</v>
      </c>
      <c r="BI47" s="13"/>
    </row>
    <row r="48" spans="2:61" ht="15.75" thickBot="1">
      <c r="B48" s="55" t="s">
        <v>57</v>
      </c>
      <c r="C48" s="56">
        <f>SUM(C9+C13+C17+C23+C27+C30+C33+C36+C39+C47)</f>
        <v>4466.390063424947</v>
      </c>
      <c r="D48" s="56">
        <f aca="true" t="shared" si="36" ref="D48:J48">SUM(D9+D13+D17+D23+D27+D30+D33+D36+D39+D47)</f>
        <v>70719.79171560566</v>
      </c>
      <c r="E48" s="56">
        <f t="shared" si="36"/>
        <v>6012.782411604714</v>
      </c>
      <c r="F48" s="56">
        <f t="shared" si="36"/>
        <v>45888.679520788544</v>
      </c>
      <c r="G48" s="56">
        <f t="shared" si="36"/>
        <v>3295</v>
      </c>
      <c r="H48" s="56">
        <f t="shared" si="36"/>
        <v>28888.836464010714</v>
      </c>
      <c r="I48" s="56">
        <f t="shared" si="36"/>
        <v>5187</v>
      </c>
      <c r="J48" s="56">
        <f t="shared" si="36"/>
        <v>86821.06652661065</v>
      </c>
      <c r="K48" s="56">
        <f>SUM(K9+K13+K17+K23+K27+K30+K33+K36+K39+K47)</f>
        <v>3042.219086711134</v>
      </c>
      <c r="L48" s="56">
        <f aca="true" t="shared" si="37" ref="L48:R48">SUM(L9+L13+L17+L23+L27+L30+L33+L36+L39+L47)</f>
        <v>50680.892518987785</v>
      </c>
      <c r="M48" s="56">
        <f t="shared" si="37"/>
        <v>1939.8993103448277</v>
      </c>
      <c r="N48" s="56">
        <f t="shared" si="37"/>
        <v>22122.69002967188</v>
      </c>
      <c r="O48" s="56">
        <f t="shared" si="37"/>
        <v>1999.9846827133479</v>
      </c>
      <c r="P48" s="56">
        <f t="shared" si="37"/>
        <v>19401.568514239752</v>
      </c>
      <c r="Q48" s="56">
        <f t="shared" si="37"/>
        <v>2351.8908320084793</v>
      </c>
      <c r="R48" s="56">
        <f t="shared" si="37"/>
        <v>44744.53078037132</v>
      </c>
      <c r="T48" s="55" t="s">
        <v>57</v>
      </c>
      <c r="U48" s="56">
        <f>SUM(U9+U13+U17+U23+U27+U30+U33+U36+U39+U47)</f>
        <v>1177.3133433283358</v>
      </c>
      <c r="V48" s="56">
        <f aca="true" t="shared" si="38" ref="V48:AB48">SUM(V9+V13+V17+V23+V27+V30+V33+V36+V39+V47)</f>
        <v>13783.53614272324</v>
      </c>
      <c r="W48" s="56">
        <f t="shared" si="38"/>
        <v>1225</v>
      </c>
      <c r="X48" s="56">
        <f t="shared" si="38"/>
        <v>13831.078038434904</v>
      </c>
      <c r="Y48" s="56">
        <f t="shared" si="38"/>
        <v>5217</v>
      </c>
      <c r="Z48" s="56">
        <f t="shared" si="38"/>
        <v>45136.3448275862</v>
      </c>
      <c r="AA48" s="56">
        <f t="shared" si="38"/>
        <v>1740</v>
      </c>
      <c r="AB48" s="56">
        <f t="shared" si="38"/>
        <v>16387.956874682903</v>
      </c>
      <c r="AC48" s="56">
        <f>SUM(AC9+AC13+AC17+AC23+AC27+AC30+AC33+AC36+AC39+AC47)</f>
        <v>5710</v>
      </c>
      <c r="AD48" s="56">
        <f aca="true" t="shared" si="39" ref="AD48:AJ48">SUM(AD9+AD13+AD17+AD23+AD27+AD30+AD33+AD36+AD39+AD47)</f>
        <v>63116.248445712255</v>
      </c>
      <c r="AE48" s="56">
        <f t="shared" si="39"/>
        <v>3270.9242636746144</v>
      </c>
      <c r="AF48" s="56">
        <f t="shared" si="39"/>
        <v>52285.24135396486</v>
      </c>
      <c r="AG48" s="56">
        <f t="shared" si="39"/>
        <v>3057.7343387470996</v>
      </c>
      <c r="AH48" s="56">
        <f t="shared" si="39"/>
        <v>43696.573871320856</v>
      </c>
      <c r="AI48" s="56">
        <f t="shared" si="39"/>
        <v>4182</v>
      </c>
      <c r="AJ48" s="56">
        <f t="shared" si="39"/>
        <v>60533.568320885526</v>
      </c>
      <c r="AL48" s="55" t="s">
        <v>57</v>
      </c>
      <c r="AM48" s="56">
        <f>SUM(AM9+AM13+AM17+AM23+AM27+AM30+AM33+AM36+AM39+AM47)</f>
        <v>2658.1235383833246</v>
      </c>
      <c r="AN48" s="56">
        <f aca="true" t="shared" si="40" ref="AN48:AT48">SUM(AN9+AN13+AN17+AN23+AN27+AN30+AN33+AN36+AN39+AN47)</f>
        <v>56051.7685537691</v>
      </c>
      <c r="AO48" s="56">
        <f t="shared" si="40"/>
        <v>8118.681742043551</v>
      </c>
      <c r="AP48" s="56">
        <f t="shared" si="40"/>
        <v>99386.22734138413</v>
      </c>
      <c r="AQ48" s="56">
        <f t="shared" si="40"/>
        <v>6985.255481262634</v>
      </c>
      <c r="AR48" s="56">
        <f t="shared" si="40"/>
        <v>111674.08451499343</v>
      </c>
      <c r="AS48" s="56">
        <f t="shared" si="40"/>
        <v>1370.5454545454545</v>
      </c>
      <c r="AT48" s="56">
        <f t="shared" si="40"/>
        <v>24480.89090068896</v>
      </c>
      <c r="AU48" s="56">
        <f aca="true" t="shared" si="41" ref="AU48:AZ48">SUM(AU9+AU13+AU17+AU23+AU27+AU30+AU33+AU36+AU39+AU47)</f>
        <v>4025</v>
      </c>
      <c r="AV48" s="56">
        <f t="shared" si="41"/>
        <v>46131.13465481887</v>
      </c>
      <c r="AW48" s="56">
        <f t="shared" si="41"/>
        <v>2706</v>
      </c>
      <c r="AX48" s="56">
        <f t="shared" si="41"/>
        <v>30678.586777031105</v>
      </c>
      <c r="AY48" s="56">
        <f t="shared" si="41"/>
        <v>755</v>
      </c>
      <c r="AZ48" s="56">
        <f t="shared" si="41"/>
        <v>7395</v>
      </c>
      <c r="BB48" s="55" t="s">
        <v>57</v>
      </c>
      <c r="BC48" s="56">
        <f aca="true" t="shared" si="42" ref="BC48:BH48">SUM(BC9+BC13+BC17+BC23+BC27+BC30+BC33+BC36+BC39+BC47)</f>
        <v>1880.7627118644068</v>
      </c>
      <c r="BD48" s="56">
        <f t="shared" si="42"/>
        <v>28424.28813559322</v>
      </c>
      <c r="BE48" s="56">
        <f t="shared" si="42"/>
        <v>10160.803202846977</v>
      </c>
      <c r="BF48" s="56">
        <f t="shared" si="42"/>
        <v>225791.42664617917</v>
      </c>
      <c r="BG48" s="56">
        <f t="shared" si="42"/>
        <v>2490.189981673793</v>
      </c>
      <c r="BH48" s="56">
        <f t="shared" si="42"/>
        <v>33000.84004960427</v>
      </c>
      <c r="BI48" s="13"/>
    </row>
  </sheetData>
  <sheetProtection/>
  <mergeCells count="30">
    <mergeCell ref="BE4:BF4"/>
    <mergeCell ref="AE4:AF4"/>
    <mergeCell ref="AG4:AH4"/>
    <mergeCell ref="AI4:AJ4"/>
    <mergeCell ref="AS4:AT4"/>
    <mergeCell ref="AU4:AV4"/>
    <mergeCell ref="AW4:AX4"/>
    <mergeCell ref="AY4:AZ4"/>
    <mergeCell ref="BB4:BB5"/>
    <mergeCell ref="BC4:BD4"/>
    <mergeCell ref="O4:P4"/>
    <mergeCell ref="Q4:R4"/>
    <mergeCell ref="T4:T5"/>
    <mergeCell ref="U4:V4"/>
    <mergeCell ref="W4:X4"/>
    <mergeCell ref="BG4:BH4"/>
    <mergeCell ref="AL4:AL5"/>
    <mergeCell ref="AM4:AN4"/>
    <mergeCell ref="AO4:AP4"/>
    <mergeCell ref="AQ4:AR4"/>
    <mergeCell ref="Y4:Z4"/>
    <mergeCell ref="AA4:AB4"/>
    <mergeCell ref="AC4:AD4"/>
    <mergeCell ref="K4:L4"/>
    <mergeCell ref="B4:B5"/>
    <mergeCell ref="C4:D4"/>
    <mergeCell ref="E4:F4"/>
    <mergeCell ref="G4:H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BH47"/>
  <sheetViews>
    <sheetView zoomScalePageLayoutView="0" workbookViewId="0" topLeftCell="A1">
      <selection activeCell="BB2" sqref="BB2:BF2"/>
    </sheetView>
  </sheetViews>
  <sheetFormatPr defaultColWidth="9.140625" defaultRowHeight="15"/>
  <cols>
    <col min="2" max="2" width="15.28125" style="0" customWidth="1"/>
    <col min="20" max="20" width="12.00390625" style="0" customWidth="1"/>
  </cols>
  <sheetData>
    <row r="2" spans="2:54" ht="18.75">
      <c r="B2" s="14" t="s">
        <v>143</v>
      </c>
      <c r="T2" s="14" t="s">
        <v>143</v>
      </c>
      <c r="AL2" s="14" t="s">
        <v>143</v>
      </c>
      <c r="BB2" s="14" t="s">
        <v>143</v>
      </c>
    </row>
    <row r="3" ht="19.5" thickBot="1">
      <c r="B3" s="14" t="s">
        <v>134</v>
      </c>
    </row>
    <row r="4" spans="2:60" ht="15.75" thickBot="1">
      <c r="B4" s="96" t="s">
        <v>0</v>
      </c>
      <c r="C4" s="99" t="s">
        <v>95</v>
      </c>
      <c r="D4" s="100"/>
      <c r="E4" s="99" t="s">
        <v>96</v>
      </c>
      <c r="F4" s="100"/>
      <c r="G4" s="99" t="s">
        <v>97</v>
      </c>
      <c r="H4" s="100"/>
      <c r="I4" s="99" t="s">
        <v>98</v>
      </c>
      <c r="J4" s="100"/>
      <c r="K4" s="94" t="s">
        <v>99</v>
      </c>
      <c r="L4" s="95"/>
      <c r="M4" s="94" t="s">
        <v>100</v>
      </c>
      <c r="N4" s="95"/>
      <c r="O4" s="94" t="s">
        <v>101</v>
      </c>
      <c r="P4" s="95"/>
      <c r="Q4" s="94" t="s">
        <v>102</v>
      </c>
      <c r="R4" s="95"/>
      <c r="T4" s="101" t="s">
        <v>0</v>
      </c>
      <c r="U4" s="98" t="s">
        <v>103</v>
      </c>
      <c r="V4" s="98"/>
      <c r="W4" s="98" t="s">
        <v>104</v>
      </c>
      <c r="X4" s="98"/>
      <c r="Y4" s="98" t="s">
        <v>105</v>
      </c>
      <c r="Z4" s="98"/>
      <c r="AA4" s="98" t="s">
        <v>106</v>
      </c>
      <c r="AB4" s="98"/>
      <c r="AC4" s="98" t="s">
        <v>107</v>
      </c>
      <c r="AD4" s="98"/>
      <c r="AE4" s="98" t="s">
        <v>108</v>
      </c>
      <c r="AF4" s="98"/>
      <c r="AG4" s="98" t="s">
        <v>109</v>
      </c>
      <c r="AH4" s="98"/>
      <c r="AI4" s="93" t="s">
        <v>110</v>
      </c>
      <c r="AJ4" s="93"/>
      <c r="AL4" s="102" t="s">
        <v>0</v>
      </c>
      <c r="AM4" s="93" t="s">
        <v>111</v>
      </c>
      <c r="AN4" s="93"/>
      <c r="AO4" s="93" t="s">
        <v>112</v>
      </c>
      <c r="AP4" s="93"/>
      <c r="AQ4" s="93" t="s">
        <v>113</v>
      </c>
      <c r="AR4" s="93"/>
      <c r="AS4" s="93" t="s">
        <v>114</v>
      </c>
      <c r="AT4" s="93"/>
      <c r="AU4" s="93" t="s">
        <v>115</v>
      </c>
      <c r="AV4" s="93"/>
      <c r="AW4" s="93" t="s">
        <v>116</v>
      </c>
      <c r="AX4" s="93"/>
      <c r="AY4" s="93" t="s">
        <v>117</v>
      </c>
      <c r="AZ4" s="93"/>
      <c r="BB4" s="102" t="s">
        <v>0</v>
      </c>
      <c r="BC4" s="94" t="s">
        <v>118</v>
      </c>
      <c r="BD4" s="95"/>
      <c r="BE4" s="93" t="s">
        <v>119</v>
      </c>
      <c r="BF4" s="93"/>
      <c r="BG4" s="93" t="s">
        <v>120</v>
      </c>
      <c r="BH4" s="93"/>
    </row>
    <row r="5" spans="2:60" ht="15.75" thickBot="1">
      <c r="B5" s="97"/>
      <c r="C5" s="57" t="s">
        <v>121</v>
      </c>
      <c r="D5" s="58" t="s">
        <v>122</v>
      </c>
      <c r="E5" s="57" t="s">
        <v>121</v>
      </c>
      <c r="F5" s="58" t="s">
        <v>122</v>
      </c>
      <c r="G5" s="57" t="s">
        <v>121</v>
      </c>
      <c r="H5" s="58" t="s">
        <v>122</v>
      </c>
      <c r="I5" s="57" t="s">
        <v>121</v>
      </c>
      <c r="J5" s="58" t="s">
        <v>122</v>
      </c>
      <c r="K5" s="38" t="s">
        <v>121</v>
      </c>
      <c r="L5" s="39" t="s">
        <v>122</v>
      </c>
      <c r="M5" s="38" t="s">
        <v>121</v>
      </c>
      <c r="N5" s="39" t="s">
        <v>122</v>
      </c>
      <c r="O5" s="38" t="s">
        <v>121</v>
      </c>
      <c r="P5" s="39" t="s">
        <v>122</v>
      </c>
      <c r="Q5" s="38" t="s">
        <v>121</v>
      </c>
      <c r="R5" s="39" t="s">
        <v>122</v>
      </c>
      <c r="T5" s="101"/>
      <c r="U5" s="61" t="s">
        <v>121</v>
      </c>
      <c r="V5" s="62" t="s">
        <v>122</v>
      </c>
      <c r="W5" s="61" t="s">
        <v>121</v>
      </c>
      <c r="X5" s="62" t="s">
        <v>122</v>
      </c>
      <c r="Y5" s="61" t="s">
        <v>121</v>
      </c>
      <c r="Z5" s="62" t="s">
        <v>122</v>
      </c>
      <c r="AA5" s="61" t="s">
        <v>121</v>
      </c>
      <c r="AB5" s="62" t="s">
        <v>122</v>
      </c>
      <c r="AC5" s="61" t="s">
        <v>121</v>
      </c>
      <c r="AD5" s="62" t="s">
        <v>122</v>
      </c>
      <c r="AE5" s="61" t="s">
        <v>121</v>
      </c>
      <c r="AF5" s="62" t="s">
        <v>122</v>
      </c>
      <c r="AG5" s="61" t="s">
        <v>121</v>
      </c>
      <c r="AH5" s="62" t="s">
        <v>122</v>
      </c>
      <c r="AI5" s="38" t="s">
        <v>121</v>
      </c>
      <c r="AJ5" s="39" t="s">
        <v>122</v>
      </c>
      <c r="AL5" s="102"/>
      <c r="AM5" s="38" t="s">
        <v>121</v>
      </c>
      <c r="AN5" s="39" t="s">
        <v>122</v>
      </c>
      <c r="AO5" s="38" t="s">
        <v>121</v>
      </c>
      <c r="AP5" s="39" t="s">
        <v>122</v>
      </c>
      <c r="AQ5" s="38" t="s">
        <v>121</v>
      </c>
      <c r="AR5" s="39" t="s">
        <v>122</v>
      </c>
      <c r="AS5" s="38" t="s">
        <v>121</v>
      </c>
      <c r="AT5" s="39" t="s">
        <v>122</v>
      </c>
      <c r="AU5" s="38" t="s">
        <v>121</v>
      </c>
      <c r="AV5" s="39" t="s">
        <v>122</v>
      </c>
      <c r="AW5" s="38" t="s">
        <v>121</v>
      </c>
      <c r="AX5" s="39" t="s">
        <v>122</v>
      </c>
      <c r="AY5" s="38" t="s">
        <v>121</v>
      </c>
      <c r="AZ5" s="39" t="s">
        <v>122</v>
      </c>
      <c r="BB5" s="102"/>
      <c r="BC5" s="38" t="s">
        <v>121</v>
      </c>
      <c r="BD5" s="39" t="s">
        <v>122</v>
      </c>
      <c r="BE5" s="38" t="s">
        <v>121</v>
      </c>
      <c r="BF5" s="39" t="s">
        <v>122</v>
      </c>
      <c r="BG5" s="38" t="s">
        <v>121</v>
      </c>
      <c r="BH5" s="39" t="s">
        <v>122</v>
      </c>
    </row>
    <row r="6" spans="2:60" ht="15">
      <c r="B6" s="40" t="s">
        <v>16</v>
      </c>
      <c r="C6" s="41">
        <v>0</v>
      </c>
      <c r="D6" s="41">
        <v>0</v>
      </c>
      <c r="E6" s="41">
        <v>0</v>
      </c>
      <c r="F6" s="41">
        <v>0</v>
      </c>
      <c r="G6" s="41">
        <v>20</v>
      </c>
      <c r="H6" s="41">
        <v>24.760247854860346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15</v>
      </c>
      <c r="R6" s="41">
        <f>112/11*Q6</f>
        <v>152.72727272727272</v>
      </c>
      <c r="T6" s="63" t="s">
        <v>16</v>
      </c>
      <c r="U6" s="41">
        <v>0</v>
      </c>
      <c r="V6" s="41">
        <v>0</v>
      </c>
      <c r="W6" s="41">
        <v>0</v>
      </c>
      <c r="X6" s="41">
        <v>0</v>
      </c>
      <c r="Y6" s="41">
        <v>40</v>
      </c>
      <c r="Z6" s="41">
        <f>130/32*Y6</f>
        <v>162.5</v>
      </c>
      <c r="AA6" s="41">
        <v>20</v>
      </c>
      <c r="AB6" s="41">
        <f>70/18*AA6</f>
        <v>77.77777777777777</v>
      </c>
      <c r="AC6" s="41">
        <v>55</v>
      </c>
      <c r="AD6" s="41">
        <f>499/50*AC6</f>
        <v>548.9</v>
      </c>
      <c r="AE6" s="41">
        <v>45</v>
      </c>
      <c r="AF6" s="41">
        <f>488/41*AE6</f>
        <v>535.609756097561</v>
      </c>
      <c r="AG6" s="41">
        <v>45</v>
      </c>
      <c r="AH6" s="41">
        <f>660/44*AG6</f>
        <v>675</v>
      </c>
      <c r="AI6" s="41">
        <v>35</v>
      </c>
      <c r="AJ6" s="41">
        <f>330/33*AI6</f>
        <v>350</v>
      </c>
      <c r="AL6" s="40" t="s">
        <v>16</v>
      </c>
      <c r="AM6" s="41">
        <v>20</v>
      </c>
      <c r="AN6" s="41">
        <f>230/19*AM6</f>
        <v>242.10526315789474</v>
      </c>
      <c r="AO6" s="41">
        <v>5</v>
      </c>
      <c r="AP6" s="41">
        <v>73.8127191251248</v>
      </c>
      <c r="AQ6" s="41">
        <v>50</v>
      </c>
      <c r="AR6" s="41">
        <f>287/41*AQ6</f>
        <v>350</v>
      </c>
      <c r="AS6" s="41">
        <v>5</v>
      </c>
      <c r="AT6" s="41">
        <f>130/13*AS6</f>
        <v>50</v>
      </c>
      <c r="AU6" s="41">
        <v>30</v>
      </c>
      <c r="AV6" s="41">
        <f>350/26*AU6</f>
        <v>403.84615384615387</v>
      </c>
      <c r="AW6" s="41">
        <v>50</v>
      </c>
      <c r="AX6" s="41">
        <f>859/46*AW6</f>
        <v>933.6956521739131</v>
      </c>
      <c r="AY6" s="41">
        <v>0</v>
      </c>
      <c r="AZ6" s="41">
        <v>0</v>
      </c>
      <c r="BB6" s="40" t="s">
        <v>16</v>
      </c>
      <c r="BC6" s="41">
        <v>50</v>
      </c>
      <c r="BD6" s="41">
        <f>400/40*BC6</f>
        <v>500</v>
      </c>
      <c r="BE6" s="41">
        <v>100</v>
      </c>
      <c r="BF6" s="41">
        <f>1074/90*BE6</f>
        <v>1193.3333333333333</v>
      </c>
      <c r="BG6" s="41">
        <v>10</v>
      </c>
      <c r="BH6" s="41">
        <f>36/4*BG6</f>
        <v>90</v>
      </c>
    </row>
    <row r="7" spans="2:60" ht="15">
      <c r="B7" s="43" t="s">
        <v>17</v>
      </c>
      <c r="C7" s="44">
        <v>0</v>
      </c>
      <c r="D7" s="44">
        <v>0</v>
      </c>
      <c r="E7" s="44">
        <v>0</v>
      </c>
      <c r="F7" s="44">
        <v>0</v>
      </c>
      <c r="G7" s="44">
        <v>30</v>
      </c>
      <c r="H7" s="44">
        <v>179.5117969477375</v>
      </c>
      <c r="I7" s="44">
        <v>10</v>
      </c>
      <c r="J7" s="44">
        <v>80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35</v>
      </c>
      <c r="R7" s="44">
        <f>112/11*Q7</f>
        <v>356.3636363636364</v>
      </c>
      <c r="T7" s="64" t="s">
        <v>17</v>
      </c>
      <c r="U7" s="44">
        <v>0</v>
      </c>
      <c r="V7" s="44">
        <v>0</v>
      </c>
      <c r="W7" s="44">
        <v>0</v>
      </c>
      <c r="X7" s="44">
        <v>0</v>
      </c>
      <c r="Y7" s="44">
        <v>60</v>
      </c>
      <c r="Z7" s="44">
        <f>130/32*Y7</f>
        <v>243.75</v>
      </c>
      <c r="AA7" s="44">
        <v>30</v>
      </c>
      <c r="AB7" s="44">
        <f>70/18*AA7</f>
        <v>116.66666666666667</v>
      </c>
      <c r="AC7" s="44">
        <v>75</v>
      </c>
      <c r="AD7" s="44">
        <f>499/50*AC7</f>
        <v>748.5</v>
      </c>
      <c r="AE7" s="44">
        <v>55</v>
      </c>
      <c r="AF7" s="44">
        <f>488/41*AE7</f>
        <v>654.6341463414634</v>
      </c>
      <c r="AG7" s="44">
        <v>50</v>
      </c>
      <c r="AH7" s="44">
        <f>660/44*AG7</f>
        <v>750</v>
      </c>
      <c r="AI7" s="44">
        <v>50</v>
      </c>
      <c r="AJ7" s="44">
        <f>330/33*AI7</f>
        <v>500</v>
      </c>
      <c r="AL7" s="43" t="s">
        <v>17</v>
      </c>
      <c r="AM7" s="44">
        <v>15</v>
      </c>
      <c r="AN7" s="44">
        <f>230/19*AM7</f>
        <v>181.57894736842104</v>
      </c>
      <c r="AO7" s="44">
        <v>10</v>
      </c>
      <c r="AP7" s="44">
        <v>110.7190786876872</v>
      </c>
      <c r="AQ7" s="44">
        <v>60</v>
      </c>
      <c r="AR7" s="44">
        <f>287/41*AQ7</f>
        <v>420</v>
      </c>
      <c r="AS7" s="44">
        <v>15</v>
      </c>
      <c r="AT7" s="44">
        <f>130/13*AS7</f>
        <v>150</v>
      </c>
      <c r="AU7" s="44">
        <v>130</v>
      </c>
      <c r="AV7" s="44">
        <f>350/26*AU7</f>
        <v>1750</v>
      </c>
      <c r="AW7" s="44">
        <v>60</v>
      </c>
      <c r="AX7" s="44">
        <f>859/46*AW7</f>
        <v>1120.4347826086957</v>
      </c>
      <c r="AY7" s="44">
        <v>0</v>
      </c>
      <c r="AZ7" s="44">
        <v>0</v>
      </c>
      <c r="BB7" s="43" t="s">
        <v>17</v>
      </c>
      <c r="BC7" s="44">
        <v>70</v>
      </c>
      <c r="BD7" s="44">
        <f>400/40*BC7</f>
        <v>700</v>
      </c>
      <c r="BE7" s="44">
        <v>350</v>
      </c>
      <c r="BF7" s="44">
        <f>1074/90*BE7</f>
        <v>4176.666666666667</v>
      </c>
      <c r="BG7" s="44">
        <v>20</v>
      </c>
      <c r="BH7" s="44">
        <f>36/4*BG7</f>
        <v>180</v>
      </c>
    </row>
    <row r="8" spans="2:60" ht="15">
      <c r="B8" s="43" t="s">
        <v>18</v>
      </c>
      <c r="C8" s="44">
        <v>0</v>
      </c>
      <c r="D8" s="44">
        <v>0</v>
      </c>
      <c r="E8" s="44">
        <v>5</v>
      </c>
      <c r="F8" s="44">
        <v>0</v>
      </c>
      <c r="G8" s="44">
        <v>35</v>
      </c>
      <c r="H8" s="44">
        <v>136.1813632017319</v>
      </c>
      <c r="I8" s="44">
        <v>5</v>
      </c>
      <c r="J8" s="44">
        <v>50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55</v>
      </c>
      <c r="R8" s="44">
        <f>112/11*Q8</f>
        <v>560</v>
      </c>
      <c r="T8" s="64" t="s">
        <v>18</v>
      </c>
      <c r="U8" s="44">
        <v>0</v>
      </c>
      <c r="V8" s="44">
        <v>0</v>
      </c>
      <c r="W8" s="44">
        <v>0</v>
      </c>
      <c r="X8" s="44">
        <v>0</v>
      </c>
      <c r="Y8" s="44">
        <v>110</v>
      </c>
      <c r="Z8" s="44">
        <f>130/32*Y8</f>
        <v>446.875</v>
      </c>
      <c r="AA8" s="44">
        <v>55</v>
      </c>
      <c r="AB8" s="44">
        <f>70/18*AA8</f>
        <v>213.88888888888889</v>
      </c>
      <c r="AC8" s="44">
        <v>150</v>
      </c>
      <c r="AD8" s="44">
        <f>499/50*AC8</f>
        <v>1497</v>
      </c>
      <c r="AE8" s="44">
        <v>100</v>
      </c>
      <c r="AF8" s="44">
        <f>488/41*AE8</f>
        <v>1190.2439024390244</v>
      </c>
      <c r="AG8" s="44">
        <v>80</v>
      </c>
      <c r="AH8" s="44">
        <f>660/44*AG8</f>
        <v>1200</v>
      </c>
      <c r="AI8" s="44">
        <v>51</v>
      </c>
      <c r="AJ8" s="44">
        <f>330/33*AI8</f>
        <v>510</v>
      </c>
      <c r="AL8" s="43" t="s">
        <v>18</v>
      </c>
      <c r="AM8" s="44">
        <v>45.34531835205993</v>
      </c>
      <c r="AN8" s="44">
        <f>230/19*AM8</f>
        <v>548.9170116301991</v>
      </c>
      <c r="AO8" s="44">
        <v>0</v>
      </c>
      <c r="AP8" s="44">
        <v>0</v>
      </c>
      <c r="AQ8" s="44">
        <v>120</v>
      </c>
      <c r="AR8" s="44">
        <f>287/41*AQ8</f>
        <v>840</v>
      </c>
      <c r="AS8" s="44">
        <v>40</v>
      </c>
      <c r="AT8" s="44">
        <f>130/13*AS8</f>
        <v>400</v>
      </c>
      <c r="AU8" s="44">
        <v>100</v>
      </c>
      <c r="AV8" s="44">
        <f>350/26*AU8</f>
        <v>1346.1538461538462</v>
      </c>
      <c r="AW8" s="44">
        <v>190</v>
      </c>
      <c r="AX8" s="44">
        <f>859/46*AW8</f>
        <v>3548.0434782608695</v>
      </c>
      <c r="AY8" s="44">
        <v>0</v>
      </c>
      <c r="AZ8" s="44">
        <v>0</v>
      </c>
      <c r="BB8" s="43" t="s">
        <v>18</v>
      </c>
      <c r="BC8" s="44">
        <v>210</v>
      </c>
      <c r="BD8" s="44">
        <f>400/40*BC8</f>
        <v>2100</v>
      </c>
      <c r="BE8" s="44">
        <v>230</v>
      </c>
      <c r="BF8" s="44">
        <f>1074/90*BE8</f>
        <v>2744.6666666666665</v>
      </c>
      <c r="BG8" s="44">
        <v>95</v>
      </c>
      <c r="BH8" s="44">
        <f>36/4*BG8</f>
        <v>855</v>
      </c>
    </row>
    <row r="9" spans="2:60" ht="15">
      <c r="B9" s="48" t="s">
        <v>123</v>
      </c>
      <c r="C9" s="49">
        <f>SUM(C6:C8)</f>
        <v>0</v>
      </c>
      <c r="D9" s="49">
        <f aca="true" t="shared" si="0" ref="D9:BH9">SUM(D6:D8)</f>
        <v>0</v>
      </c>
      <c r="E9" s="49">
        <f t="shared" si="0"/>
        <v>5</v>
      </c>
      <c r="F9" s="49">
        <f t="shared" si="0"/>
        <v>0</v>
      </c>
      <c r="G9" s="49">
        <f t="shared" si="0"/>
        <v>85</v>
      </c>
      <c r="H9" s="49">
        <f t="shared" si="0"/>
        <v>340.45340800432973</v>
      </c>
      <c r="I9" s="49">
        <f t="shared" si="0"/>
        <v>15</v>
      </c>
      <c r="J9" s="49">
        <f t="shared" si="0"/>
        <v>130</v>
      </c>
      <c r="K9" s="49">
        <f t="shared" si="0"/>
        <v>0</v>
      </c>
      <c r="L9" s="49">
        <f t="shared" si="0"/>
        <v>0</v>
      </c>
      <c r="M9" s="49">
        <f t="shared" si="0"/>
        <v>0</v>
      </c>
      <c r="N9" s="49">
        <f t="shared" si="0"/>
        <v>0</v>
      </c>
      <c r="O9" s="49">
        <f t="shared" si="0"/>
        <v>0</v>
      </c>
      <c r="P9" s="49">
        <f t="shared" si="0"/>
        <v>0</v>
      </c>
      <c r="Q9" s="49">
        <f t="shared" si="0"/>
        <v>105</v>
      </c>
      <c r="R9" s="49">
        <f t="shared" si="0"/>
        <v>1069.090909090909</v>
      </c>
      <c r="T9" s="65" t="s">
        <v>135</v>
      </c>
      <c r="U9" s="49">
        <f t="shared" si="0"/>
        <v>0</v>
      </c>
      <c r="V9" s="49">
        <f t="shared" si="0"/>
        <v>0</v>
      </c>
      <c r="W9" s="49">
        <f t="shared" si="0"/>
        <v>0</v>
      </c>
      <c r="X9" s="49">
        <f t="shared" si="0"/>
        <v>0</v>
      </c>
      <c r="Y9" s="49">
        <f t="shared" si="0"/>
        <v>210</v>
      </c>
      <c r="Z9" s="49">
        <f t="shared" si="0"/>
        <v>853.125</v>
      </c>
      <c r="AA9" s="49">
        <f t="shared" si="0"/>
        <v>105</v>
      </c>
      <c r="AB9" s="49">
        <f t="shared" si="0"/>
        <v>408.33333333333337</v>
      </c>
      <c r="AC9" s="49">
        <f t="shared" si="0"/>
        <v>280</v>
      </c>
      <c r="AD9" s="49">
        <f t="shared" si="0"/>
        <v>2794.4</v>
      </c>
      <c r="AE9" s="49">
        <f t="shared" si="0"/>
        <v>200</v>
      </c>
      <c r="AF9" s="49">
        <f t="shared" si="0"/>
        <v>2380.487804878049</v>
      </c>
      <c r="AG9" s="49">
        <f t="shared" si="0"/>
        <v>175</v>
      </c>
      <c r="AH9" s="49">
        <f t="shared" si="0"/>
        <v>2625</v>
      </c>
      <c r="AI9" s="49">
        <f t="shared" si="0"/>
        <v>136</v>
      </c>
      <c r="AJ9" s="49">
        <f t="shared" si="0"/>
        <v>1360</v>
      </c>
      <c r="AL9" s="48" t="s">
        <v>135</v>
      </c>
      <c r="AM9" s="49">
        <f t="shared" si="0"/>
        <v>80.34531835205993</v>
      </c>
      <c r="AN9" s="49">
        <f t="shared" si="0"/>
        <v>972.601222156515</v>
      </c>
      <c r="AO9" s="49">
        <f t="shared" si="0"/>
        <v>15</v>
      </c>
      <c r="AP9" s="49">
        <f t="shared" si="0"/>
        <v>184.531797812812</v>
      </c>
      <c r="AQ9" s="49">
        <f t="shared" si="0"/>
        <v>230</v>
      </c>
      <c r="AR9" s="49">
        <f t="shared" si="0"/>
        <v>1610</v>
      </c>
      <c r="AS9" s="49">
        <f t="shared" si="0"/>
        <v>60</v>
      </c>
      <c r="AT9" s="49">
        <f t="shared" si="0"/>
        <v>600</v>
      </c>
      <c r="AU9" s="49">
        <f t="shared" si="0"/>
        <v>260</v>
      </c>
      <c r="AV9" s="49">
        <f t="shared" si="0"/>
        <v>3500</v>
      </c>
      <c r="AW9" s="49">
        <f t="shared" si="0"/>
        <v>300</v>
      </c>
      <c r="AX9" s="49">
        <f t="shared" si="0"/>
        <v>5602.173913043478</v>
      </c>
      <c r="AY9" s="49">
        <f t="shared" si="0"/>
        <v>0</v>
      </c>
      <c r="AZ9" s="49">
        <f t="shared" si="0"/>
        <v>0</v>
      </c>
      <c r="BB9" s="48" t="s">
        <v>135</v>
      </c>
      <c r="BC9" s="49">
        <f t="shared" si="0"/>
        <v>330</v>
      </c>
      <c r="BD9" s="49">
        <f t="shared" si="0"/>
        <v>3300</v>
      </c>
      <c r="BE9" s="49">
        <f t="shared" si="0"/>
        <v>680</v>
      </c>
      <c r="BF9" s="49">
        <f t="shared" si="0"/>
        <v>8114.666666666666</v>
      </c>
      <c r="BG9" s="49">
        <f t="shared" si="0"/>
        <v>125</v>
      </c>
      <c r="BH9" s="49">
        <f t="shared" si="0"/>
        <v>1125</v>
      </c>
    </row>
    <row r="10" spans="2:60" ht="15">
      <c r="B10" s="43" t="s">
        <v>20</v>
      </c>
      <c r="C10" s="44">
        <v>10</v>
      </c>
      <c r="D10" s="44">
        <v>120</v>
      </c>
      <c r="E10" s="44">
        <v>588.2022403875264</v>
      </c>
      <c r="F10" s="44">
        <f>4410/490*E10</f>
        <v>5293.820163487738</v>
      </c>
      <c r="G10" s="44">
        <v>170</v>
      </c>
      <c r="H10" s="44">
        <v>266.1726644397487</v>
      </c>
      <c r="I10" s="44">
        <v>560</v>
      </c>
      <c r="J10" s="44">
        <v>5660</v>
      </c>
      <c r="K10" s="44">
        <v>430</v>
      </c>
      <c r="L10" s="44">
        <f>1232/154*K10</f>
        <v>3440</v>
      </c>
      <c r="M10" s="44">
        <v>120</v>
      </c>
      <c r="N10" s="44">
        <f>1740/116*M10</f>
        <v>1800</v>
      </c>
      <c r="O10" s="44">
        <v>90</v>
      </c>
      <c r="P10" s="44">
        <f>12238/490*O10</f>
        <v>2247.795918367347</v>
      </c>
      <c r="Q10" s="44">
        <v>120</v>
      </c>
      <c r="R10" s="44">
        <f>2340/117*Q10</f>
        <v>2400</v>
      </c>
      <c r="T10" s="64" t="s">
        <v>20</v>
      </c>
      <c r="U10" s="44">
        <v>140</v>
      </c>
      <c r="V10" s="44">
        <f>1584/132*U10</f>
        <v>1680</v>
      </c>
      <c r="W10" s="44">
        <v>30</v>
      </c>
      <c r="X10" s="44">
        <f>1584/132*W10</f>
        <v>360</v>
      </c>
      <c r="Y10" s="44">
        <v>100</v>
      </c>
      <c r="Z10" s="44">
        <f>1365/91*Y10</f>
        <v>1500</v>
      </c>
      <c r="AA10" s="44">
        <v>20</v>
      </c>
      <c r="AB10" s="44">
        <f>240/16*AA10</f>
        <v>300</v>
      </c>
      <c r="AC10" s="44">
        <v>150</v>
      </c>
      <c r="AD10" s="44">
        <f>666/148*AC10</f>
        <v>675</v>
      </c>
      <c r="AE10" s="44">
        <v>140</v>
      </c>
      <c r="AF10" s="44">
        <f>1465/130*AE10</f>
        <v>1577.6923076923078</v>
      </c>
      <c r="AG10" s="44">
        <v>90</v>
      </c>
      <c r="AH10" s="44">
        <f>1640/82*AG10</f>
        <v>1800</v>
      </c>
      <c r="AI10" s="44">
        <v>140</v>
      </c>
      <c r="AJ10" s="44">
        <f>2660/133*AI10</f>
        <v>2800</v>
      </c>
      <c r="AL10" s="43" t="s">
        <v>20</v>
      </c>
      <c r="AM10" s="44">
        <v>135</v>
      </c>
      <c r="AN10" s="44">
        <f>3912/326*AM10</f>
        <v>1620</v>
      </c>
      <c r="AO10" s="44">
        <v>55</v>
      </c>
      <c r="AP10" s="44">
        <f>750/50*AO10</f>
        <v>825</v>
      </c>
      <c r="AQ10" s="44">
        <v>190</v>
      </c>
      <c r="AR10" s="44">
        <f>2704/186*AQ10</f>
        <v>2762.1505376344085</v>
      </c>
      <c r="AS10" s="44">
        <v>60</v>
      </c>
      <c r="AT10" s="44">
        <f>550/55*AS10</f>
        <v>600</v>
      </c>
      <c r="AU10" s="44">
        <v>40</v>
      </c>
      <c r="AV10" s="44">
        <f>651/93*AU10</f>
        <v>280</v>
      </c>
      <c r="AW10" s="44">
        <v>60</v>
      </c>
      <c r="AX10" s="44">
        <f>130/25*AW10</f>
        <v>312</v>
      </c>
      <c r="AY10" s="44">
        <v>0</v>
      </c>
      <c r="AZ10" s="44">
        <v>0</v>
      </c>
      <c r="BB10" s="43" t="s">
        <v>20</v>
      </c>
      <c r="BC10" s="44">
        <v>10</v>
      </c>
      <c r="BD10" s="44">
        <f>80/16*BC10</f>
        <v>50</v>
      </c>
      <c r="BE10" s="44">
        <v>266.40383182543906</v>
      </c>
      <c r="BF10" s="44">
        <f>1120/112*BE10</f>
        <v>2664.0383182543906</v>
      </c>
      <c r="BG10" s="44">
        <v>60</v>
      </c>
      <c r="BH10" s="44">
        <f>8470/605*BG10</f>
        <v>840</v>
      </c>
    </row>
    <row r="11" spans="2:60" ht="15">
      <c r="B11" s="43" t="s">
        <v>21</v>
      </c>
      <c r="C11" s="44">
        <v>5</v>
      </c>
      <c r="D11" s="44">
        <v>60</v>
      </c>
      <c r="E11" s="44">
        <v>300</v>
      </c>
      <c r="F11" s="44">
        <f>4410/490*E11</f>
        <v>2700</v>
      </c>
      <c r="G11" s="44">
        <v>214.0581973030518</v>
      </c>
      <c r="H11" s="44">
        <v>878.9887988475423</v>
      </c>
      <c r="I11" s="44">
        <v>510</v>
      </c>
      <c r="J11" s="44">
        <v>5100</v>
      </c>
      <c r="K11" s="44">
        <v>160</v>
      </c>
      <c r="L11" s="44">
        <f>1232/154*K11</f>
        <v>1280</v>
      </c>
      <c r="M11" s="44">
        <v>2.3934426229508197</v>
      </c>
      <c r="N11" s="44">
        <f>1740/116*M11</f>
        <v>35.90163934426229</v>
      </c>
      <c r="O11" s="44">
        <v>1280</v>
      </c>
      <c r="P11" s="44">
        <f>12238/490*O11</f>
        <v>31968.65306122449</v>
      </c>
      <c r="Q11" s="44">
        <v>330</v>
      </c>
      <c r="R11" s="44">
        <f>2340/117*Q11</f>
        <v>6600</v>
      </c>
      <c r="T11" s="64" t="s">
        <v>21</v>
      </c>
      <c r="U11" s="44">
        <v>200</v>
      </c>
      <c r="V11" s="44">
        <f>1584/132*U11</f>
        <v>2400</v>
      </c>
      <c r="W11" s="44">
        <v>5</v>
      </c>
      <c r="X11" s="44">
        <f>1584/132*W11</f>
        <v>60</v>
      </c>
      <c r="Y11" s="44">
        <v>245</v>
      </c>
      <c r="Z11" s="44">
        <f>1365/91*Y11</f>
        <v>3675</v>
      </c>
      <c r="AA11" s="44">
        <v>90</v>
      </c>
      <c r="AB11" s="44">
        <f>240/16*AA11</f>
        <v>1350</v>
      </c>
      <c r="AC11" s="44">
        <v>360</v>
      </c>
      <c r="AD11" s="44">
        <f>666/148*AC11</f>
        <v>1620</v>
      </c>
      <c r="AE11" s="44">
        <v>275</v>
      </c>
      <c r="AF11" s="44">
        <f>1465/130*AE11</f>
        <v>3099.038461538462</v>
      </c>
      <c r="AG11" s="44">
        <v>270</v>
      </c>
      <c r="AH11" s="44">
        <f>1640/82*AG11</f>
        <v>5400</v>
      </c>
      <c r="AI11" s="44">
        <v>315</v>
      </c>
      <c r="AJ11" s="44">
        <f>2660/133*AI11</f>
        <v>6300</v>
      </c>
      <c r="AL11" s="43" t="s">
        <v>21</v>
      </c>
      <c r="AM11" s="44">
        <v>326</v>
      </c>
      <c r="AN11" s="44">
        <f>3912/326*AM11</f>
        <v>3912</v>
      </c>
      <c r="AO11" s="44">
        <v>470</v>
      </c>
      <c r="AP11" s="44">
        <f>750/50*AO11</f>
        <v>7050</v>
      </c>
      <c r="AQ11" s="44">
        <v>240</v>
      </c>
      <c r="AR11" s="44">
        <f>2704/186*AQ11</f>
        <v>3489.032258064516</v>
      </c>
      <c r="AS11" s="44">
        <v>140</v>
      </c>
      <c r="AT11" s="44">
        <f>550/55*AS11</f>
        <v>1400</v>
      </c>
      <c r="AU11" s="44">
        <v>100</v>
      </c>
      <c r="AV11" s="44">
        <f>651/93*AU11</f>
        <v>700</v>
      </c>
      <c r="AW11" s="44">
        <v>35</v>
      </c>
      <c r="AX11" s="44">
        <f>130/25*AW11</f>
        <v>182</v>
      </c>
      <c r="AY11" s="44">
        <v>60</v>
      </c>
      <c r="AZ11" s="44">
        <f>270/60*AY11</f>
        <v>270</v>
      </c>
      <c r="BB11" s="43" t="s">
        <v>21</v>
      </c>
      <c r="BC11" s="44">
        <v>25</v>
      </c>
      <c r="BD11" s="44">
        <f>80/16*BC11</f>
        <v>125</v>
      </c>
      <c r="BE11" s="44">
        <v>120</v>
      </c>
      <c r="BF11" s="44">
        <f>1120/112*BE11</f>
        <v>1200</v>
      </c>
      <c r="BG11" s="44">
        <v>600</v>
      </c>
      <c r="BH11" s="44">
        <f>8470/605*BG11</f>
        <v>8400</v>
      </c>
    </row>
    <row r="12" spans="2:60" ht="15">
      <c r="B12" s="43" t="s">
        <v>22</v>
      </c>
      <c r="C12" s="44">
        <v>830</v>
      </c>
      <c r="D12" s="44">
        <f>27540/1377*C12</f>
        <v>16600</v>
      </c>
      <c r="E12" s="44">
        <v>240</v>
      </c>
      <c r="F12" s="44">
        <f>4410/490*E12</f>
        <v>2160</v>
      </c>
      <c r="G12" s="44">
        <v>247.222143364088</v>
      </c>
      <c r="H12" s="44">
        <v>1015.1701620492742</v>
      </c>
      <c r="I12" s="44">
        <v>975</v>
      </c>
      <c r="J12" s="44">
        <v>9750</v>
      </c>
      <c r="K12" s="44">
        <v>900</v>
      </c>
      <c r="L12" s="44">
        <f>1232/154*K12</f>
        <v>7200</v>
      </c>
      <c r="M12" s="44">
        <v>900</v>
      </c>
      <c r="N12" s="44">
        <f>1740/116*M12</f>
        <v>13500</v>
      </c>
      <c r="O12" s="44">
        <v>500</v>
      </c>
      <c r="P12" s="44">
        <f>12238/490*O12</f>
        <v>12487.755102040817</v>
      </c>
      <c r="Q12" s="44">
        <v>475</v>
      </c>
      <c r="R12" s="44">
        <f>2340/117*Q12</f>
        <v>9500</v>
      </c>
      <c r="T12" s="64" t="s">
        <v>22</v>
      </c>
      <c r="U12" s="44">
        <v>310</v>
      </c>
      <c r="V12" s="44">
        <f>1584/132*U12</f>
        <v>3720</v>
      </c>
      <c r="W12" s="44">
        <v>875</v>
      </c>
      <c r="X12" s="44">
        <f>1584/132*W12</f>
        <v>10500</v>
      </c>
      <c r="Y12" s="44">
        <v>40</v>
      </c>
      <c r="Z12" s="44">
        <f>1365/91*Y12</f>
        <v>600</v>
      </c>
      <c r="AA12" s="44">
        <v>20</v>
      </c>
      <c r="AB12" s="44">
        <f>240/16*AA12</f>
        <v>300</v>
      </c>
      <c r="AC12" s="44">
        <v>40</v>
      </c>
      <c r="AD12" s="44">
        <f>666/148*AC12</f>
        <v>180</v>
      </c>
      <c r="AE12" s="44">
        <v>35</v>
      </c>
      <c r="AF12" s="44">
        <f>1465/130*AE12</f>
        <v>394.42307692307696</v>
      </c>
      <c r="AG12" s="44">
        <v>30</v>
      </c>
      <c r="AH12" s="44">
        <f>1640/82*AG12</f>
        <v>600</v>
      </c>
      <c r="AI12" s="44">
        <v>35</v>
      </c>
      <c r="AJ12" s="44">
        <f>2660/133*AI12</f>
        <v>700</v>
      </c>
      <c r="AL12" s="43" t="s">
        <v>22</v>
      </c>
      <c r="AM12" s="44">
        <v>30</v>
      </c>
      <c r="AN12" s="44">
        <f>3912/326*AM12</f>
        <v>360</v>
      </c>
      <c r="AO12" s="44">
        <v>45</v>
      </c>
      <c r="AP12" s="44">
        <f>750/50*AO12</f>
        <v>675</v>
      </c>
      <c r="AQ12" s="44">
        <v>130</v>
      </c>
      <c r="AR12" s="44">
        <f>2704/186*AQ12</f>
        <v>1889.8924731182794</v>
      </c>
      <c r="AS12" s="44">
        <v>50</v>
      </c>
      <c r="AT12" s="44">
        <f>550/55*AS12</f>
        <v>500</v>
      </c>
      <c r="AU12" s="44">
        <v>70</v>
      </c>
      <c r="AV12" s="44">
        <f>651/93*AU12</f>
        <v>490</v>
      </c>
      <c r="AW12" s="44">
        <v>18.63611615245009</v>
      </c>
      <c r="AX12" s="44">
        <f>130/25*AW12</f>
        <v>96.90780399274047</v>
      </c>
      <c r="AY12" s="44">
        <v>0</v>
      </c>
      <c r="AZ12" s="44">
        <v>0</v>
      </c>
      <c r="BB12" s="43" t="s">
        <v>22</v>
      </c>
      <c r="BC12" s="44">
        <v>30</v>
      </c>
      <c r="BD12" s="44">
        <v>962.6890548450722</v>
      </c>
      <c r="BE12" s="44">
        <v>135</v>
      </c>
      <c r="BF12" s="44">
        <f>1120/112*BE12</f>
        <v>1350</v>
      </c>
      <c r="BG12" s="44">
        <v>60</v>
      </c>
      <c r="BH12" s="44">
        <f>8470/605*BG12</f>
        <v>840</v>
      </c>
    </row>
    <row r="13" spans="2:60" ht="15">
      <c r="B13" s="48" t="s">
        <v>124</v>
      </c>
      <c r="C13" s="49">
        <f>SUM(C10:C12)</f>
        <v>845</v>
      </c>
      <c r="D13" s="49">
        <f aca="true" t="shared" si="1" ref="D13:BH13">SUM(D10:D12)</f>
        <v>16780</v>
      </c>
      <c r="E13" s="49">
        <f t="shared" si="1"/>
        <v>1128.2022403875264</v>
      </c>
      <c r="F13" s="49">
        <f t="shared" si="1"/>
        <v>10153.820163487737</v>
      </c>
      <c r="G13" s="49">
        <f t="shared" si="1"/>
        <v>631.2803406671397</v>
      </c>
      <c r="H13" s="49">
        <f t="shared" si="1"/>
        <v>2160.331625336565</v>
      </c>
      <c r="I13" s="49">
        <f t="shared" si="1"/>
        <v>2045</v>
      </c>
      <c r="J13" s="49">
        <f t="shared" si="1"/>
        <v>20510</v>
      </c>
      <c r="K13" s="49">
        <f t="shared" si="1"/>
        <v>1490</v>
      </c>
      <c r="L13" s="49">
        <f t="shared" si="1"/>
        <v>11920</v>
      </c>
      <c r="M13" s="49">
        <f t="shared" si="1"/>
        <v>1022.3934426229508</v>
      </c>
      <c r="N13" s="49">
        <f t="shared" si="1"/>
        <v>15335.901639344262</v>
      </c>
      <c r="O13" s="49">
        <f t="shared" si="1"/>
        <v>1870</v>
      </c>
      <c r="P13" s="49">
        <f t="shared" si="1"/>
        <v>46704.20408163265</v>
      </c>
      <c r="Q13" s="49">
        <f t="shared" si="1"/>
        <v>925</v>
      </c>
      <c r="R13" s="49">
        <f t="shared" si="1"/>
        <v>18500</v>
      </c>
      <c r="T13" s="65" t="s">
        <v>23</v>
      </c>
      <c r="U13" s="49">
        <f t="shared" si="1"/>
        <v>650</v>
      </c>
      <c r="V13" s="49">
        <f t="shared" si="1"/>
        <v>7800</v>
      </c>
      <c r="W13" s="49">
        <f t="shared" si="1"/>
        <v>910</v>
      </c>
      <c r="X13" s="49">
        <f t="shared" si="1"/>
        <v>10920</v>
      </c>
      <c r="Y13" s="49">
        <f t="shared" si="1"/>
        <v>385</v>
      </c>
      <c r="Z13" s="49">
        <f t="shared" si="1"/>
        <v>5775</v>
      </c>
      <c r="AA13" s="49">
        <f t="shared" si="1"/>
        <v>130</v>
      </c>
      <c r="AB13" s="49">
        <f t="shared" si="1"/>
        <v>1950</v>
      </c>
      <c r="AC13" s="49">
        <f t="shared" si="1"/>
        <v>550</v>
      </c>
      <c r="AD13" s="49">
        <f t="shared" si="1"/>
        <v>2475</v>
      </c>
      <c r="AE13" s="49">
        <f t="shared" si="1"/>
        <v>450</v>
      </c>
      <c r="AF13" s="49">
        <f t="shared" si="1"/>
        <v>5071.153846153847</v>
      </c>
      <c r="AG13" s="49">
        <f t="shared" si="1"/>
        <v>390</v>
      </c>
      <c r="AH13" s="49">
        <f t="shared" si="1"/>
        <v>7800</v>
      </c>
      <c r="AI13" s="49">
        <f t="shared" si="1"/>
        <v>490</v>
      </c>
      <c r="AJ13" s="49">
        <f t="shared" si="1"/>
        <v>9800</v>
      </c>
      <c r="AL13" s="48" t="s">
        <v>23</v>
      </c>
      <c r="AM13" s="49">
        <f t="shared" si="1"/>
        <v>491</v>
      </c>
      <c r="AN13" s="49">
        <f t="shared" si="1"/>
        <v>5892</v>
      </c>
      <c r="AO13" s="49">
        <f t="shared" si="1"/>
        <v>570</v>
      </c>
      <c r="AP13" s="49">
        <f t="shared" si="1"/>
        <v>8550</v>
      </c>
      <c r="AQ13" s="49">
        <f t="shared" si="1"/>
        <v>560</v>
      </c>
      <c r="AR13" s="49">
        <f t="shared" si="1"/>
        <v>8141.075268817204</v>
      </c>
      <c r="AS13" s="49">
        <f t="shared" si="1"/>
        <v>250</v>
      </c>
      <c r="AT13" s="49">
        <f t="shared" si="1"/>
        <v>2500</v>
      </c>
      <c r="AU13" s="49">
        <f t="shared" si="1"/>
        <v>210</v>
      </c>
      <c r="AV13" s="49">
        <f t="shared" si="1"/>
        <v>1470</v>
      </c>
      <c r="AW13" s="49">
        <f t="shared" si="1"/>
        <v>113.63611615245009</v>
      </c>
      <c r="AX13" s="49">
        <f t="shared" si="1"/>
        <v>590.9078039927405</v>
      </c>
      <c r="AY13" s="49">
        <f t="shared" si="1"/>
        <v>60</v>
      </c>
      <c r="AZ13" s="49">
        <f t="shared" si="1"/>
        <v>270</v>
      </c>
      <c r="BB13" s="48" t="s">
        <v>23</v>
      </c>
      <c r="BC13" s="49">
        <f t="shared" si="1"/>
        <v>65</v>
      </c>
      <c r="BD13" s="49">
        <f t="shared" si="1"/>
        <v>1137.6890548450722</v>
      </c>
      <c r="BE13" s="49">
        <f t="shared" si="1"/>
        <v>521.403831825439</v>
      </c>
      <c r="BF13" s="49">
        <f t="shared" si="1"/>
        <v>5214.03831825439</v>
      </c>
      <c r="BG13" s="49">
        <f t="shared" si="1"/>
        <v>720</v>
      </c>
      <c r="BH13" s="49">
        <f t="shared" si="1"/>
        <v>10080</v>
      </c>
    </row>
    <row r="14" spans="2:60" ht="15">
      <c r="B14" s="43" t="s">
        <v>24</v>
      </c>
      <c r="C14" s="44">
        <v>0</v>
      </c>
      <c r="D14" s="44">
        <v>0</v>
      </c>
      <c r="E14" s="44">
        <v>0</v>
      </c>
      <c r="F14" s="44">
        <v>0</v>
      </c>
      <c r="G14" s="44">
        <v>30</v>
      </c>
      <c r="H14" s="44">
        <v>290.9329122946091</v>
      </c>
      <c r="I14" s="44">
        <v>10</v>
      </c>
      <c r="J14" s="44">
        <v>100</v>
      </c>
      <c r="K14" s="44">
        <v>1.6437246963562753</v>
      </c>
      <c r="L14" s="44">
        <v>16</v>
      </c>
      <c r="M14" s="44">
        <v>0</v>
      </c>
      <c r="N14" s="44">
        <v>0</v>
      </c>
      <c r="O14" s="44">
        <v>0</v>
      </c>
      <c r="P14" s="44">
        <v>0</v>
      </c>
      <c r="Q14" s="44">
        <v>60</v>
      </c>
      <c r="R14" s="44">
        <f>812/50*Q14</f>
        <v>974.3999999999999</v>
      </c>
      <c r="T14" s="64" t="s">
        <v>24</v>
      </c>
      <c r="U14" s="44">
        <v>0</v>
      </c>
      <c r="V14" s="44">
        <v>0</v>
      </c>
      <c r="W14" s="44">
        <v>0</v>
      </c>
      <c r="X14" s="44">
        <v>0</v>
      </c>
      <c r="Y14" s="44">
        <v>72.2561761546724</v>
      </c>
      <c r="Z14" s="44">
        <f>87/70*Y14</f>
        <v>89.80410464937856</v>
      </c>
      <c r="AA14" s="44">
        <v>24.510510510510514</v>
      </c>
      <c r="AB14" s="44">
        <f>150/12*AA14</f>
        <v>306.3813813813814</v>
      </c>
      <c r="AC14" s="44">
        <v>90</v>
      </c>
      <c r="AD14" s="44">
        <f>1000/80*AC14</f>
        <v>1125</v>
      </c>
      <c r="AE14" s="44">
        <v>75</v>
      </c>
      <c r="AF14" s="44">
        <f>1310/70*AE14</f>
        <v>1403.5714285714287</v>
      </c>
      <c r="AG14" s="44">
        <v>80</v>
      </c>
      <c r="AH14" s="44">
        <f>2200/80*AG14</f>
        <v>2200</v>
      </c>
      <c r="AI14" s="44">
        <v>80</v>
      </c>
      <c r="AJ14" s="44">
        <f>1310/70*AI14</f>
        <v>1497.1428571428573</v>
      </c>
      <c r="AL14" s="43" t="s">
        <v>24</v>
      </c>
      <c r="AM14" s="44">
        <v>32.38951310861423</v>
      </c>
      <c r="AN14" s="44">
        <f>167/12*AM14</f>
        <v>450.7540574282147</v>
      </c>
      <c r="AO14" s="44">
        <v>4.618170842137036</v>
      </c>
      <c r="AP14" s="44">
        <f>247/20*AO14</f>
        <v>57.03440990039239</v>
      </c>
      <c r="AQ14" s="44">
        <v>90</v>
      </c>
      <c r="AR14" s="44">
        <f>1300/80*AQ14</f>
        <v>1462.5</v>
      </c>
      <c r="AS14" s="44">
        <v>30</v>
      </c>
      <c r="AT14" s="44">
        <f>244/15*AS14</f>
        <v>488</v>
      </c>
      <c r="AU14" s="44">
        <v>190</v>
      </c>
      <c r="AV14" s="44">
        <f>1277/181*AU14</f>
        <v>1340.4972375690606</v>
      </c>
      <c r="AW14" s="44">
        <v>160</v>
      </c>
      <c r="AX14" s="44">
        <f>1340/150*AW14</f>
        <v>1429.3333333333335</v>
      </c>
      <c r="AY14" s="44">
        <v>0</v>
      </c>
      <c r="AZ14" s="44">
        <v>0</v>
      </c>
      <c r="BB14" s="43" t="s">
        <v>24</v>
      </c>
      <c r="BC14" s="44">
        <v>115</v>
      </c>
      <c r="BD14" s="44">
        <f>1375/100*BC14</f>
        <v>1581.25</v>
      </c>
      <c r="BE14" s="44">
        <v>110</v>
      </c>
      <c r="BF14" s="44">
        <f>3750/100*BE14</f>
        <v>4125</v>
      </c>
      <c r="BG14" s="44">
        <v>75</v>
      </c>
      <c r="BH14" s="44">
        <f>612/70*BG14</f>
        <v>655.7142857142857</v>
      </c>
    </row>
    <row r="15" spans="2:60" ht="15">
      <c r="B15" s="43" t="s">
        <v>25</v>
      </c>
      <c r="C15" s="44">
        <v>0</v>
      </c>
      <c r="D15" s="44">
        <v>0</v>
      </c>
      <c r="E15" s="44">
        <v>3.5576748410535877</v>
      </c>
      <c r="F15" s="44">
        <v>18.389580311054704</v>
      </c>
      <c r="G15" s="44">
        <v>45</v>
      </c>
      <c r="H15" s="44">
        <v>142.371425165447</v>
      </c>
      <c r="I15" s="44">
        <v>9</v>
      </c>
      <c r="J15" s="44">
        <v>90</v>
      </c>
      <c r="K15" s="44">
        <v>5</v>
      </c>
      <c r="L15" s="44">
        <v>40</v>
      </c>
      <c r="M15" s="44">
        <v>1</v>
      </c>
      <c r="N15" s="44">
        <v>15</v>
      </c>
      <c r="O15" s="44">
        <v>0</v>
      </c>
      <c r="P15" s="44">
        <v>0</v>
      </c>
      <c r="Q15" s="44">
        <v>120.10362694300517</v>
      </c>
      <c r="R15" s="44">
        <f>812/50*Q15</f>
        <v>1950.4829015544037</v>
      </c>
      <c r="T15" s="64" t="s">
        <v>25</v>
      </c>
      <c r="U15" s="44">
        <v>1</v>
      </c>
      <c r="V15" s="44">
        <v>8</v>
      </c>
      <c r="W15" s="44">
        <v>0</v>
      </c>
      <c r="X15" s="44">
        <v>0</v>
      </c>
      <c r="Y15" s="44">
        <v>75</v>
      </c>
      <c r="Z15" s="44">
        <f>87/70*Y15</f>
        <v>93.21428571428572</v>
      </c>
      <c r="AA15" s="44">
        <v>20</v>
      </c>
      <c r="AB15" s="44">
        <f>150/12*AA15</f>
        <v>250</v>
      </c>
      <c r="AC15" s="44">
        <v>130</v>
      </c>
      <c r="AD15" s="44">
        <f>1000/80*AC15</f>
        <v>1625</v>
      </c>
      <c r="AE15" s="44">
        <v>55</v>
      </c>
      <c r="AF15" s="44">
        <f>1310/70*AE15</f>
        <v>1029.2857142857144</v>
      </c>
      <c r="AG15" s="44">
        <v>55</v>
      </c>
      <c r="AH15" s="44">
        <f>2200/80*AG15</f>
        <v>1512.5</v>
      </c>
      <c r="AI15" s="44">
        <v>50</v>
      </c>
      <c r="AJ15" s="44">
        <f>1310/70*AI15</f>
        <v>935.7142857142858</v>
      </c>
      <c r="AL15" s="43" t="s">
        <v>25</v>
      </c>
      <c r="AM15" s="44">
        <v>15</v>
      </c>
      <c r="AN15" s="44">
        <f>167/12*AM15</f>
        <v>208.75</v>
      </c>
      <c r="AO15" s="44">
        <v>20</v>
      </c>
      <c r="AP15" s="44">
        <f>247/20*AO15</f>
        <v>247</v>
      </c>
      <c r="AQ15" s="44">
        <v>100</v>
      </c>
      <c r="AR15" s="44">
        <f>1300/80*AQ15</f>
        <v>1625</v>
      </c>
      <c r="AS15" s="44">
        <v>70</v>
      </c>
      <c r="AT15" s="44">
        <f>244/15*AS15</f>
        <v>1138.6666666666665</v>
      </c>
      <c r="AU15" s="44">
        <v>185</v>
      </c>
      <c r="AV15" s="44">
        <f>1277/181*AU15</f>
        <v>1305.220994475138</v>
      </c>
      <c r="AW15" s="44">
        <v>120</v>
      </c>
      <c r="AX15" s="44">
        <f>1340/150*AW15</f>
        <v>1072</v>
      </c>
      <c r="AY15" s="44">
        <v>5</v>
      </c>
      <c r="AZ15" s="44">
        <v>50</v>
      </c>
      <c r="BB15" s="43" t="s">
        <v>25</v>
      </c>
      <c r="BC15" s="44">
        <v>30</v>
      </c>
      <c r="BD15" s="44">
        <f>1375/100*BC15</f>
        <v>412.5</v>
      </c>
      <c r="BE15" s="44">
        <v>190</v>
      </c>
      <c r="BF15" s="44">
        <f>3750/100*BE15</f>
        <v>7125</v>
      </c>
      <c r="BG15" s="44">
        <v>65</v>
      </c>
      <c r="BH15" s="44">
        <f>612/70*BG15</f>
        <v>568.2857142857142</v>
      </c>
    </row>
    <row r="16" spans="2:60" ht="15">
      <c r="B16" s="43" t="s">
        <v>26</v>
      </c>
      <c r="C16" s="44">
        <v>0</v>
      </c>
      <c r="D16" s="44">
        <v>0</v>
      </c>
      <c r="E16" s="44">
        <v>1.1858916136845292</v>
      </c>
      <c r="F16" s="44">
        <v>6.129860103684901</v>
      </c>
      <c r="G16" s="44">
        <v>75</v>
      </c>
      <c r="H16" s="44">
        <v>74.28074356458104</v>
      </c>
      <c r="I16" s="44">
        <v>207</v>
      </c>
      <c r="J16" s="44">
        <v>2070</v>
      </c>
      <c r="K16" s="44">
        <v>10</v>
      </c>
      <c r="L16" s="44">
        <v>80</v>
      </c>
      <c r="M16" s="44">
        <v>5</v>
      </c>
      <c r="N16" s="44">
        <v>75</v>
      </c>
      <c r="O16" s="44">
        <v>5</v>
      </c>
      <c r="P16" s="44">
        <v>0</v>
      </c>
      <c r="Q16" s="44">
        <v>150</v>
      </c>
      <c r="R16" s="44">
        <f>812/50*Q16</f>
        <v>2435.9999999999995</v>
      </c>
      <c r="T16" s="64" t="s">
        <v>26</v>
      </c>
      <c r="U16" s="44">
        <v>10</v>
      </c>
      <c r="V16" s="44">
        <v>78</v>
      </c>
      <c r="W16" s="44">
        <v>0</v>
      </c>
      <c r="X16" s="44">
        <v>0</v>
      </c>
      <c r="Y16" s="44">
        <v>430</v>
      </c>
      <c r="Z16" s="44">
        <f>87/70*Y16</f>
        <v>534.4285714285714</v>
      </c>
      <c r="AA16" s="44">
        <v>40</v>
      </c>
      <c r="AB16" s="44">
        <f>150/12*AA16</f>
        <v>500</v>
      </c>
      <c r="AC16" s="44">
        <v>330</v>
      </c>
      <c r="AD16" s="44">
        <f>1000/80*AC16</f>
        <v>4125</v>
      </c>
      <c r="AE16" s="44">
        <v>320</v>
      </c>
      <c r="AF16" s="44">
        <f>1310/70*AE16</f>
        <v>5988.571428571429</v>
      </c>
      <c r="AG16" s="44">
        <v>270</v>
      </c>
      <c r="AH16" s="44">
        <f>2200/80*AG16</f>
        <v>7425</v>
      </c>
      <c r="AI16" s="44">
        <v>300</v>
      </c>
      <c r="AJ16" s="44">
        <f>1310/70*AI16</f>
        <v>5614.285714285715</v>
      </c>
      <c r="AL16" s="43" t="s">
        <v>26</v>
      </c>
      <c r="AM16" s="44">
        <v>300</v>
      </c>
      <c r="AN16" s="44">
        <f>167/12*AM16</f>
        <v>4175</v>
      </c>
      <c r="AO16" s="44">
        <v>540</v>
      </c>
      <c r="AP16" s="44">
        <f>247/20*AO16</f>
        <v>6669</v>
      </c>
      <c r="AQ16" s="44">
        <v>420</v>
      </c>
      <c r="AR16" s="44">
        <f>1300/80*AQ16</f>
        <v>6825</v>
      </c>
      <c r="AS16" s="44">
        <v>80</v>
      </c>
      <c r="AT16" s="44">
        <f>244/15*AS16</f>
        <v>1301.3333333333333</v>
      </c>
      <c r="AU16" s="44">
        <v>330</v>
      </c>
      <c r="AV16" s="44">
        <f>1277/181*AU16</f>
        <v>2328.232044198895</v>
      </c>
      <c r="AW16" s="44">
        <v>180</v>
      </c>
      <c r="AX16" s="44">
        <f>1340/150*AW16</f>
        <v>1608</v>
      </c>
      <c r="AY16" s="44">
        <v>20</v>
      </c>
      <c r="AZ16" s="44">
        <v>200</v>
      </c>
      <c r="BB16" s="43" t="s">
        <v>26</v>
      </c>
      <c r="BC16" s="44">
        <v>40</v>
      </c>
      <c r="BD16" s="44">
        <f>1375/100*BC16</f>
        <v>550</v>
      </c>
      <c r="BE16" s="44">
        <v>295</v>
      </c>
      <c r="BF16" s="44">
        <f>3750/100*BE16</f>
        <v>11062.5</v>
      </c>
      <c r="BG16" s="44">
        <v>80</v>
      </c>
      <c r="BH16" s="44">
        <f>612/70*BG16</f>
        <v>699.4285714285713</v>
      </c>
    </row>
    <row r="17" spans="2:60" ht="15">
      <c r="B17" s="48" t="s">
        <v>125</v>
      </c>
      <c r="C17" s="49">
        <f>SUM(C14:C16)</f>
        <v>0</v>
      </c>
      <c r="D17" s="49">
        <f aca="true" t="shared" si="2" ref="D17:BH17">SUM(D14:D16)</f>
        <v>0</v>
      </c>
      <c r="E17" s="49">
        <f t="shared" si="2"/>
        <v>4.743566454738117</v>
      </c>
      <c r="F17" s="49">
        <f t="shared" si="2"/>
        <v>24.519440414739606</v>
      </c>
      <c r="G17" s="49">
        <f t="shared" si="2"/>
        <v>150</v>
      </c>
      <c r="H17" s="49">
        <f t="shared" si="2"/>
        <v>507.58508102463713</v>
      </c>
      <c r="I17" s="49">
        <f t="shared" si="2"/>
        <v>226</v>
      </c>
      <c r="J17" s="49">
        <f t="shared" si="2"/>
        <v>2260</v>
      </c>
      <c r="K17" s="49">
        <f t="shared" si="2"/>
        <v>16.643724696356276</v>
      </c>
      <c r="L17" s="49">
        <f t="shared" si="2"/>
        <v>136</v>
      </c>
      <c r="M17" s="49">
        <f t="shared" si="2"/>
        <v>6</v>
      </c>
      <c r="N17" s="49">
        <f t="shared" si="2"/>
        <v>90</v>
      </c>
      <c r="O17" s="49">
        <f>SUM(O14:O16)</f>
        <v>5</v>
      </c>
      <c r="P17" s="49">
        <f t="shared" si="2"/>
        <v>0</v>
      </c>
      <c r="Q17" s="49">
        <f t="shared" si="2"/>
        <v>330.10362694300517</v>
      </c>
      <c r="R17" s="49">
        <f t="shared" si="2"/>
        <v>5360.882901554403</v>
      </c>
      <c r="T17" s="65" t="s">
        <v>27</v>
      </c>
      <c r="U17" s="49">
        <f t="shared" si="2"/>
        <v>11</v>
      </c>
      <c r="V17" s="49">
        <f t="shared" si="2"/>
        <v>86</v>
      </c>
      <c r="W17" s="49">
        <f t="shared" si="2"/>
        <v>0</v>
      </c>
      <c r="X17" s="49">
        <f t="shared" si="2"/>
        <v>0</v>
      </c>
      <c r="Y17" s="49">
        <f t="shared" si="2"/>
        <v>577.2561761546724</v>
      </c>
      <c r="Z17" s="49">
        <f t="shared" si="2"/>
        <v>717.4469617922357</v>
      </c>
      <c r="AA17" s="49">
        <f t="shared" si="2"/>
        <v>84.51051051051051</v>
      </c>
      <c r="AB17" s="49">
        <f t="shared" si="2"/>
        <v>1056.3813813813813</v>
      </c>
      <c r="AC17" s="49">
        <f t="shared" si="2"/>
        <v>550</v>
      </c>
      <c r="AD17" s="49">
        <f t="shared" si="2"/>
        <v>6875</v>
      </c>
      <c r="AE17" s="49">
        <f t="shared" si="2"/>
        <v>450</v>
      </c>
      <c r="AF17" s="49">
        <f t="shared" si="2"/>
        <v>8421.428571428572</v>
      </c>
      <c r="AG17" s="49">
        <f t="shared" si="2"/>
        <v>405</v>
      </c>
      <c r="AH17" s="49">
        <f t="shared" si="2"/>
        <v>11137.5</v>
      </c>
      <c r="AI17" s="49">
        <f t="shared" si="2"/>
        <v>430</v>
      </c>
      <c r="AJ17" s="49">
        <f t="shared" si="2"/>
        <v>8047.142857142858</v>
      </c>
      <c r="AL17" s="48" t="s">
        <v>27</v>
      </c>
      <c r="AM17" s="49">
        <f t="shared" si="2"/>
        <v>347.3895131086142</v>
      </c>
      <c r="AN17" s="49">
        <f t="shared" si="2"/>
        <v>4834.504057428215</v>
      </c>
      <c r="AO17" s="49">
        <f t="shared" si="2"/>
        <v>564.618170842137</v>
      </c>
      <c r="AP17" s="49">
        <f t="shared" si="2"/>
        <v>6973.034409900392</v>
      </c>
      <c r="AQ17" s="49">
        <f t="shared" si="2"/>
        <v>610</v>
      </c>
      <c r="AR17" s="49">
        <f t="shared" si="2"/>
        <v>9912.5</v>
      </c>
      <c r="AS17" s="49">
        <f t="shared" si="2"/>
        <v>180</v>
      </c>
      <c r="AT17" s="49">
        <f t="shared" si="2"/>
        <v>2928</v>
      </c>
      <c r="AU17" s="49">
        <f t="shared" si="2"/>
        <v>705</v>
      </c>
      <c r="AV17" s="49">
        <f t="shared" si="2"/>
        <v>4973.950276243094</v>
      </c>
      <c r="AW17" s="49">
        <f t="shared" si="2"/>
        <v>460</v>
      </c>
      <c r="AX17" s="49">
        <f t="shared" si="2"/>
        <v>4109.333333333334</v>
      </c>
      <c r="AY17" s="49">
        <f t="shared" si="2"/>
        <v>25</v>
      </c>
      <c r="AZ17" s="49">
        <f t="shared" si="2"/>
        <v>250</v>
      </c>
      <c r="BB17" s="48" t="s">
        <v>27</v>
      </c>
      <c r="BC17" s="49">
        <f t="shared" si="2"/>
        <v>185</v>
      </c>
      <c r="BD17" s="49">
        <f t="shared" si="2"/>
        <v>2543.75</v>
      </c>
      <c r="BE17" s="49">
        <f t="shared" si="2"/>
        <v>595</v>
      </c>
      <c r="BF17" s="49">
        <f t="shared" si="2"/>
        <v>22312.5</v>
      </c>
      <c r="BG17" s="49">
        <f t="shared" si="2"/>
        <v>220</v>
      </c>
      <c r="BH17" s="49">
        <f t="shared" si="2"/>
        <v>1923.4285714285713</v>
      </c>
    </row>
    <row r="18" spans="2:60" ht="15">
      <c r="B18" s="43" t="s">
        <v>28</v>
      </c>
      <c r="C18" s="44">
        <v>0</v>
      </c>
      <c r="D18" s="44">
        <v>0</v>
      </c>
      <c r="E18" s="44">
        <v>1.1858916136845292</v>
      </c>
      <c r="F18" s="44">
        <v>6.129860103684901</v>
      </c>
      <c r="G18" s="44">
        <v>25</v>
      </c>
      <c r="H18" s="44">
        <f>46/6*G18</f>
        <v>191.66666666666669</v>
      </c>
      <c r="I18" s="44">
        <v>75</v>
      </c>
      <c r="J18" s="44">
        <f>803/72*I18</f>
        <v>836.4583333333334</v>
      </c>
      <c r="K18" s="44">
        <v>35</v>
      </c>
      <c r="L18" s="44">
        <f>637/30*K18</f>
        <v>743.1666666666667</v>
      </c>
      <c r="M18" s="44">
        <v>70</v>
      </c>
      <c r="N18" s="44">
        <f>1410/64*M18</f>
        <v>1542.1875</v>
      </c>
      <c r="O18" s="44">
        <v>115</v>
      </c>
      <c r="P18" s="44">
        <f>2032/112*O18</f>
        <v>2086.4285714285716</v>
      </c>
      <c r="Q18" s="44">
        <v>5</v>
      </c>
      <c r="R18" s="44">
        <v>50</v>
      </c>
      <c r="T18" s="64" t="s">
        <v>28</v>
      </c>
      <c r="U18" s="44">
        <v>0</v>
      </c>
      <c r="V18" s="44">
        <v>0</v>
      </c>
      <c r="W18" s="44">
        <v>15</v>
      </c>
      <c r="X18" s="44">
        <f>195/12*W18</f>
        <v>243.75</v>
      </c>
      <c r="Y18" s="44">
        <v>120</v>
      </c>
      <c r="Z18" s="44">
        <f>1347/117*Y18</f>
        <v>1381.5384615384614</v>
      </c>
      <c r="AA18" s="44">
        <v>5</v>
      </c>
      <c r="AB18" s="44">
        <v>50</v>
      </c>
      <c r="AC18" s="44">
        <v>118.53619136377758</v>
      </c>
      <c r="AD18" s="44">
        <f>1302/107*AC18</f>
        <v>1442.3749640713868</v>
      </c>
      <c r="AE18" s="44">
        <v>0</v>
      </c>
      <c r="AF18" s="44">
        <v>0</v>
      </c>
      <c r="AG18" s="44">
        <v>60</v>
      </c>
      <c r="AH18" s="44">
        <f>775/53*AG18</f>
        <v>877.3584905660377</v>
      </c>
      <c r="AI18" s="44">
        <v>70</v>
      </c>
      <c r="AJ18" s="44">
        <f>772/63*AI18</f>
        <v>857.7777777777778</v>
      </c>
      <c r="AL18" s="43" t="s">
        <v>28</v>
      </c>
      <c r="AM18" s="44">
        <v>0</v>
      </c>
      <c r="AN18" s="44">
        <v>0</v>
      </c>
      <c r="AO18" s="44">
        <v>90</v>
      </c>
      <c r="AP18" s="44">
        <f>1211/70*AO18</f>
        <v>1557</v>
      </c>
      <c r="AQ18" s="44">
        <v>100</v>
      </c>
      <c r="AR18" s="44">
        <f>1488/91*AQ18</f>
        <v>1635.164835164835</v>
      </c>
      <c r="AS18" s="44">
        <v>0</v>
      </c>
      <c r="AT18" s="44">
        <v>0</v>
      </c>
      <c r="AU18" s="44">
        <v>90</v>
      </c>
      <c r="AV18" s="44">
        <f>841/89*AU18</f>
        <v>850.4494382022472</v>
      </c>
      <c r="AW18" s="44">
        <v>185</v>
      </c>
      <c r="AX18" s="44">
        <f>2068/168*AW18</f>
        <v>2277.261904761905</v>
      </c>
      <c r="AY18" s="44">
        <v>24.763636363636362</v>
      </c>
      <c r="AZ18" s="44">
        <v>256</v>
      </c>
      <c r="BB18" s="43" t="s">
        <v>28</v>
      </c>
      <c r="BC18" s="44">
        <v>0</v>
      </c>
      <c r="BD18" s="44">
        <v>0</v>
      </c>
      <c r="BE18" s="44">
        <v>100</v>
      </c>
      <c r="BF18" s="44">
        <f>4255/156*BE18</f>
        <v>2727.5641025641025</v>
      </c>
      <c r="BG18" s="44">
        <v>10</v>
      </c>
      <c r="BH18" s="44">
        <f>102/8*BG18</f>
        <v>127.5</v>
      </c>
    </row>
    <row r="19" spans="2:60" ht="15">
      <c r="B19" s="43" t="s">
        <v>30</v>
      </c>
      <c r="C19" s="44">
        <v>0</v>
      </c>
      <c r="D19" s="44">
        <v>0</v>
      </c>
      <c r="E19" s="44">
        <v>1.1858916136845292</v>
      </c>
      <c r="F19" s="44">
        <v>6.129860103684901</v>
      </c>
      <c r="G19" s="44">
        <v>15</v>
      </c>
      <c r="H19" s="44">
        <f>46/6*G19</f>
        <v>115</v>
      </c>
      <c r="I19" s="44">
        <v>30</v>
      </c>
      <c r="J19" s="44">
        <f>803/72*I19</f>
        <v>334.58333333333337</v>
      </c>
      <c r="K19" s="44">
        <v>20</v>
      </c>
      <c r="L19" s="44">
        <f>637/30*K19</f>
        <v>424.6666666666667</v>
      </c>
      <c r="M19" s="44">
        <v>20</v>
      </c>
      <c r="N19" s="44">
        <f>1410/64*M19</f>
        <v>440.625</v>
      </c>
      <c r="O19" s="44">
        <v>15</v>
      </c>
      <c r="P19" s="44">
        <f>2032/112*O19</f>
        <v>272.1428571428571</v>
      </c>
      <c r="Q19" s="44">
        <v>0</v>
      </c>
      <c r="R19" s="44">
        <v>0</v>
      </c>
      <c r="T19" s="64" t="s">
        <v>30</v>
      </c>
      <c r="U19" s="44">
        <v>0</v>
      </c>
      <c r="V19" s="44">
        <v>0</v>
      </c>
      <c r="W19" s="44">
        <v>0</v>
      </c>
      <c r="X19" s="44">
        <v>0</v>
      </c>
      <c r="Y19" s="44">
        <v>50</v>
      </c>
      <c r="Z19" s="44">
        <f>1347/117*Y19</f>
        <v>575.6410256410256</v>
      </c>
      <c r="AA19" s="44">
        <v>25</v>
      </c>
      <c r="AB19" s="44">
        <v>250</v>
      </c>
      <c r="AC19" s="44">
        <v>65</v>
      </c>
      <c r="AD19" s="44">
        <f>1302/107*AC19</f>
        <v>790.9345794392523</v>
      </c>
      <c r="AE19" s="44">
        <v>0</v>
      </c>
      <c r="AF19" s="44">
        <v>0</v>
      </c>
      <c r="AG19" s="44">
        <v>35</v>
      </c>
      <c r="AH19" s="44">
        <f>775/53*AG19</f>
        <v>511.79245283018867</v>
      </c>
      <c r="AI19" s="44">
        <v>40</v>
      </c>
      <c r="AJ19" s="44">
        <f>772/63*AI19</f>
        <v>490.1587301587302</v>
      </c>
      <c r="AL19" s="43" t="s">
        <v>30</v>
      </c>
      <c r="AM19" s="44">
        <v>0</v>
      </c>
      <c r="AN19" s="44">
        <v>0</v>
      </c>
      <c r="AO19" s="44">
        <v>65</v>
      </c>
      <c r="AP19" s="44">
        <f>1211/70*AO19</f>
        <v>1124.5</v>
      </c>
      <c r="AQ19" s="44">
        <v>130</v>
      </c>
      <c r="AR19" s="44">
        <f>1488/91*AQ19</f>
        <v>2125.7142857142853</v>
      </c>
      <c r="AS19" s="44">
        <v>0</v>
      </c>
      <c r="AT19" s="44">
        <v>0</v>
      </c>
      <c r="AU19" s="44">
        <v>15</v>
      </c>
      <c r="AV19" s="44">
        <f>841/89*AU19</f>
        <v>141.74157303370785</v>
      </c>
      <c r="AW19" s="44">
        <v>45</v>
      </c>
      <c r="AX19" s="44">
        <f>2068/168*AW19</f>
        <v>553.9285714285714</v>
      </c>
      <c r="AY19" s="44">
        <v>0</v>
      </c>
      <c r="AZ19" s="44">
        <v>0</v>
      </c>
      <c r="BB19" s="43" t="s">
        <v>30</v>
      </c>
      <c r="BC19" s="44">
        <v>0</v>
      </c>
      <c r="BD19" s="44">
        <v>0</v>
      </c>
      <c r="BE19" s="44">
        <v>55</v>
      </c>
      <c r="BF19" s="44">
        <f>4255/156*BE19</f>
        <v>1500.1602564102564</v>
      </c>
      <c r="BG19" s="44">
        <v>5</v>
      </c>
      <c r="BH19" s="44">
        <f>102/8*BG19</f>
        <v>63.75</v>
      </c>
    </row>
    <row r="20" spans="2:60" ht="15">
      <c r="B20" s="43" t="s">
        <v>31</v>
      </c>
      <c r="C20" s="44">
        <v>0</v>
      </c>
      <c r="D20" s="44">
        <v>0</v>
      </c>
      <c r="E20" s="44">
        <v>2.3717832273690584</v>
      </c>
      <c r="F20" s="44">
        <v>12.259720207369803</v>
      </c>
      <c r="G20" s="44">
        <v>30</v>
      </c>
      <c r="H20" s="44">
        <f>46/6*G20</f>
        <v>230</v>
      </c>
      <c r="I20" s="44">
        <v>35</v>
      </c>
      <c r="J20" s="44">
        <f>803/72*I20</f>
        <v>390.34722222222223</v>
      </c>
      <c r="K20" s="44">
        <v>20</v>
      </c>
      <c r="L20" s="44">
        <f>637/30*K20</f>
        <v>424.6666666666667</v>
      </c>
      <c r="M20" s="44">
        <v>1.1967213114754098</v>
      </c>
      <c r="N20" s="44">
        <f>1410/64*M20</f>
        <v>26.365266393442624</v>
      </c>
      <c r="O20" s="44">
        <v>5</v>
      </c>
      <c r="P20" s="44">
        <f>2032/112*O20</f>
        <v>90.71428571428571</v>
      </c>
      <c r="Q20" s="44">
        <v>0</v>
      </c>
      <c r="R20" s="44">
        <v>0</v>
      </c>
      <c r="T20" s="64" t="s">
        <v>31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f>1347/117*Y20</f>
        <v>0</v>
      </c>
      <c r="AA20" s="44">
        <v>10</v>
      </c>
      <c r="AB20" s="44">
        <v>100</v>
      </c>
      <c r="AC20" s="44">
        <v>40</v>
      </c>
      <c r="AD20" s="44">
        <f>1302/107*AC20</f>
        <v>486.7289719626168</v>
      </c>
      <c r="AE20" s="44">
        <v>3.9660194174757284</v>
      </c>
      <c r="AF20" s="44">
        <v>60</v>
      </c>
      <c r="AG20" s="44">
        <v>35</v>
      </c>
      <c r="AH20" s="44">
        <f>775/53*AG20</f>
        <v>511.79245283018867</v>
      </c>
      <c r="AI20" s="44">
        <v>30</v>
      </c>
      <c r="AJ20" s="44">
        <f>772/63*AI20</f>
        <v>367.61904761904765</v>
      </c>
      <c r="AL20" s="43" t="s">
        <v>31</v>
      </c>
      <c r="AM20" s="44">
        <v>0</v>
      </c>
      <c r="AN20" s="44">
        <v>0</v>
      </c>
      <c r="AO20" s="44">
        <v>30</v>
      </c>
      <c r="AP20" s="44">
        <f>1211/70*AO20</f>
        <v>519</v>
      </c>
      <c r="AQ20" s="44">
        <v>50</v>
      </c>
      <c r="AR20" s="44">
        <f>1488/91*AQ20</f>
        <v>817.5824175824175</v>
      </c>
      <c r="AS20" s="44">
        <v>0</v>
      </c>
      <c r="AT20" s="44">
        <v>0</v>
      </c>
      <c r="AU20" s="44">
        <v>25</v>
      </c>
      <c r="AV20" s="44">
        <f>841/89*AU20</f>
        <v>236.23595505617976</v>
      </c>
      <c r="AW20" s="44">
        <v>35</v>
      </c>
      <c r="AX20" s="44">
        <f>2068/168*AW20</f>
        <v>430.83333333333337</v>
      </c>
      <c r="AY20" s="44">
        <v>20</v>
      </c>
      <c r="AZ20" s="44">
        <v>200</v>
      </c>
      <c r="BB20" s="43" t="s">
        <v>31</v>
      </c>
      <c r="BC20" s="44">
        <v>0</v>
      </c>
      <c r="BD20" s="44">
        <v>0</v>
      </c>
      <c r="BE20" s="44">
        <v>50</v>
      </c>
      <c r="BF20" s="44">
        <f>4255/156*BE20</f>
        <v>1363.7820512820513</v>
      </c>
      <c r="BG20" s="44">
        <v>10</v>
      </c>
      <c r="BH20" s="44">
        <f>102/8*BG20</f>
        <v>127.5</v>
      </c>
    </row>
    <row r="21" spans="2:60" ht="15">
      <c r="B21" s="43" t="s">
        <v>32</v>
      </c>
      <c r="C21" s="44">
        <v>0</v>
      </c>
      <c r="D21" s="44">
        <v>0</v>
      </c>
      <c r="E21" s="44">
        <v>0</v>
      </c>
      <c r="F21" s="44">
        <v>0</v>
      </c>
      <c r="G21" s="44">
        <v>50</v>
      </c>
      <c r="H21" s="44">
        <f>46/6*G21</f>
        <v>383.33333333333337</v>
      </c>
      <c r="I21" s="44">
        <v>55</v>
      </c>
      <c r="J21" s="44">
        <f>803/72*I21</f>
        <v>613.4027777777778</v>
      </c>
      <c r="K21" s="44">
        <v>30</v>
      </c>
      <c r="L21" s="44">
        <f>637/30*K21</f>
        <v>637</v>
      </c>
      <c r="M21" s="44">
        <v>5</v>
      </c>
      <c r="N21" s="44">
        <f>1410/64*M21</f>
        <v>110.15625</v>
      </c>
      <c r="O21" s="44">
        <v>30</v>
      </c>
      <c r="P21" s="44">
        <f>2032/112*O21</f>
        <v>544.2857142857142</v>
      </c>
      <c r="Q21" s="44">
        <v>0</v>
      </c>
      <c r="R21" s="44">
        <v>0</v>
      </c>
      <c r="T21" s="64" t="s">
        <v>32</v>
      </c>
      <c r="U21" s="44">
        <v>0</v>
      </c>
      <c r="V21" s="44">
        <v>0</v>
      </c>
      <c r="W21" s="44">
        <v>0</v>
      </c>
      <c r="X21" s="44">
        <v>0</v>
      </c>
      <c r="Y21" s="44">
        <v>60</v>
      </c>
      <c r="Z21" s="44">
        <f>1347/117*Y21</f>
        <v>690.7692307692307</v>
      </c>
      <c r="AA21" s="44">
        <v>35</v>
      </c>
      <c r="AB21" s="44">
        <v>350</v>
      </c>
      <c r="AC21" s="44">
        <v>70</v>
      </c>
      <c r="AD21" s="44">
        <f>1302/107*AC21</f>
        <v>851.7757009345794</v>
      </c>
      <c r="AE21" s="44">
        <v>10</v>
      </c>
      <c r="AF21" s="44">
        <v>150</v>
      </c>
      <c r="AG21" s="44">
        <v>45</v>
      </c>
      <c r="AH21" s="44">
        <f>775/53*AG21</f>
        <v>658.0188679245283</v>
      </c>
      <c r="AI21" s="44">
        <v>70</v>
      </c>
      <c r="AJ21" s="44">
        <f>772/63*AI21</f>
        <v>857.7777777777778</v>
      </c>
      <c r="AL21" s="43" t="s">
        <v>32</v>
      </c>
      <c r="AM21" s="44">
        <v>10</v>
      </c>
      <c r="AN21" s="44">
        <v>15</v>
      </c>
      <c r="AO21" s="44">
        <v>50</v>
      </c>
      <c r="AP21" s="44">
        <f>1211/70*AO21</f>
        <v>865</v>
      </c>
      <c r="AQ21" s="44">
        <v>110</v>
      </c>
      <c r="AR21" s="44">
        <f>1488/91*AQ21</f>
        <v>1798.6813186813185</v>
      </c>
      <c r="AS21" s="44">
        <v>0</v>
      </c>
      <c r="AT21" s="44">
        <v>0</v>
      </c>
      <c r="AU21" s="44">
        <v>70</v>
      </c>
      <c r="AV21" s="44">
        <f>841/89*AU21</f>
        <v>661.4606741573033</v>
      </c>
      <c r="AW21" s="44">
        <v>40</v>
      </c>
      <c r="AX21" s="44">
        <f>2068/168*AW21</f>
        <v>492.3809523809524</v>
      </c>
      <c r="AY21" s="44">
        <v>0</v>
      </c>
      <c r="AZ21" s="44">
        <v>0</v>
      </c>
      <c r="BB21" s="43" t="s">
        <v>32</v>
      </c>
      <c r="BC21" s="44">
        <v>9.721153846153847</v>
      </c>
      <c r="BD21" s="44">
        <v>131.2757802061462</v>
      </c>
      <c r="BE21" s="44">
        <v>9.10782331027142</v>
      </c>
      <c r="BF21" s="44">
        <f>4255/156*BE21</f>
        <v>248.4217191359288</v>
      </c>
      <c r="BG21" s="44">
        <v>0</v>
      </c>
      <c r="BH21" s="44">
        <f>102/8*BG21</f>
        <v>0</v>
      </c>
    </row>
    <row r="22" spans="2:60" ht="15">
      <c r="B22" s="43" t="s">
        <v>34</v>
      </c>
      <c r="C22" s="44">
        <v>0</v>
      </c>
      <c r="D22" s="44">
        <v>0</v>
      </c>
      <c r="E22" s="44">
        <v>0</v>
      </c>
      <c r="F22" s="44">
        <v>0</v>
      </c>
      <c r="G22" s="44">
        <v>60</v>
      </c>
      <c r="H22" s="44">
        <f>46/6*G22</f>
        <v>460</v>
      </c>
      <c r="I22" s="44">
        <v>70</v>
      </c>
      <c r="J22" s="44">
        <f>803/72*I22</f>
        <v>780.6944444444445</v>
      </c>
      <c r="K22" s="44">
        <v>40</v>
      </c>
      <c r="L22" s="44">
        <f>637/30*K22</f>
        <v>849.3333333333334</v>
      </c>
      <c r="M22" s="44">
        <v>25</v>
      </c>
      <c r="N22" s="44">
        <f>1410/64*M22</f>
        <v>550.78125</v>
      </c>
      <c r="O22" s="44">
        <v>30</v>
      </c>
      <c r="P22" s="44">
        <f>2032/112*O22</f>
        <v>544.2857142857142</v>
      </c>
      <c r="Q22" s="44">
        <v>0</v>
      </c>
      <c r="R22" s="44">
        <v>0</v>
      </c>
      <c r="T22" s="64" t="s">
        <v>34</v>
      </c>
      <c r="U22" s="44">
        <v>0</v>
      </c>
      <c r="V22" s="44">
        <v>0</v>
      </c>
      <c r="W22" s="44">
        <v>0</v>
      </c>
      <c r="X22" s="44">
        <v>0</v>
      </c>
      <c r="Y22" s="44">
        <v>75</v>
      </c>
      <c r="Z22" s="44">
        <f>1347/117*Y22</f>
        <v>863.4615384615385</v>
      </c>
      <c r="AA22" s="44">
        <v>50</v>
      </c>
      <c r="AB22" s="44">
        <v>500</v>
      </c>
      <c r="AC22" s="44">
        <v>85</v>
      </c>
      <c r="AD22" s="44">
        <f>1302/107*AC22</f>
        <v>1034.2990654205607</v>
      </c>
      <c r="AE22" s="44">
        <v>0</v>
      </c>
      <c r="AF22" s="44">
        <v>0</v>
      </c>
      <c r="AG22" s="44">
        <v>70</v>
      </c>
      <c r="AH22" s="44">
        <f>775/53*AG22</f>
        <v>1023.5849056603773</v>
      </c>
      <c r="AI22" s="44">
        <v>60</v>
      </c>
      <c r="AJ22" s="44">
        <f>772/63*AI22</f>
        <v>735.2380952380953</v>
      </c>
      <c r="AL22" s="43" t="s">
        <v>34</v>
      </c>
      <c r="AM22" s="44">
        <v>0</v>
      </c>
      <c r="AN22" s="44">
        <v>0</v>
      </c>
      <c r="AO22" s="44">
        <v>30</v>
      </c>
      <c r="AP22" s="44">
        <f>1211/70*AO22</f>
        <v>519</v>
      </c>
      <c r="AQ22" s="44">
        <v>170</v>
      </c>
      <c r="AR22" s="44">
        <f>1488/91*AQ22</f>
        <v>2779.7802197802193</v>
      </c>
      <c r="AS22" s="44">
        <v>0</v>
      </c>
      <c r="AT22" s="44">
        <v>0</v>
      </c>
      <c r="AU22" s="44">
        <v>15</v>
      </c>
      <c r="AV22" s="44">
        <f>841/89*AU22</f>
        <v>141.74157303370785</v>
      </c>
      <c r="AW22" s="44">
        <v>35</v>
      </c>
      <c r="AX22" s="44">
        <f>2068/168*AW22</f>
        <v>430.83333333333337</v>
      </c>
      <c r="AY22" s="44">
        <v>15</v>
      </c>
      <c r="AZ22" s="44">
        <v>150</v>
      </c>
      <c r="BB22" s="43" t="s">
        <v>34</v>
      </c>
      <c r="BC22" s="44">
        <v>0</v>
      </c>
      <c r="BD22" s="44">
        <v>0</v>
      </c>
      <c r="BE22" s="44">
        <v>14.230973922299095</v>
      </c>
      <c r="BF22" s="44">
        <f>4255/156*BE22</f>
        <v>388.15893614988875</v>
      </c>
      <c r="BG22" s="44">
        <v>30</v>
      </c>
      <c r="BH22" s="44">
        <f>102/8*BG22</f>
        <v>382.5</v>
      </c>
    </row>
    <row r="23" spans="2:60" ht="15">
      <c r="B23" s="48" t="s">
        <v>126</v>
      </c>
      <c r="C23" s="49">
        <f>SUM(C18:C22)</f>
        <v>0</v>
      </c>
      <c r="D23" s="49">
        <f aca="true" t="shared" si="3" ref="D23:BH23">SUM(D18:D22)</f>
        <v>0</v>
      </c>
      <c r="E23" s="49">
        <f t="shared" si="3"/>
        <v>4.743566454738117</v>
      </c>
      <c r="F23" s="49">
        <f t="shared" si="3"/>
        <v>24.519440414739606</v>
      </c>
      <c r="G23" s="49">
        <f t="shared" si="3"/>
        <v>180</v>
      </c>
      <c r="H23" s="49">
        <f t="shared" si="3"/>
        <v>1380</v>
      </c>
      <c r="I23" s="49">
        <f t="shared" si="3"/>
        <v>265</v>
      </c>
      <c r="J23" s="49">
        <f t="shared" si="3"/>
        <v>2955.4861111111113</v>
      </c>
      <c r="K23" s="49">
        <f t="shared" si="3"/>
        <v>145</v>
      </c>
      <c r="L23" s="49">
        <f t="shared" si="3"/>
        <v>3078.8333333333335</v>
      </c>
      <c r="M23" s="49">
        <f t="shared" si="3"/>
        <v>121.19672131147541</v>
      </c>
      <c r="N23" s="49">
        <f t="shared" si="3"/>
        <v>2670.1152663934427</v>
      </c>
      <c r="O23" s="49">
        <f t="shared" si="3"/>
        <v>195</v>
      </c>
      <c r="P23" s="49">
        <f t="shared" si="3"/>
        <v>3537.8571428571427</v>
      </c>
      <c r="Q23" s="49">
        <f t="shared" si="3"/>
        <v>5</v>
      </c>
      <c r="R23" s="49">
        <f t="shared" si="3"/>
        <v>50</v>
      </c>
      <c r="T23" s="65" t="s">
        <v>35</v>
      </c>
      <c r="U23" s="49">
        <f t="shared" si="3"/>
        <v>0</v>
      </c>
      <c r="V23" s="49">
        <f t="shared" si="3"/>
        <v>0</v>
      </c>
      <c r="W23" s="49">
        <f t="shared" si="3"/>
        <v>15</v>
      </c>
      <c r="X23" s="49">
        <f t="shared" si="3"/>
        <v>243.75</v>
      </c>
      <c r="Y23" s="49">
        <f t="shared" si="3"/>
        <v>305</v>
      </c>
      <c r="Z23" s="49">
        <f t="shared" si="3"/>
        <v>3511.4102564102564</v>
      </c>
      <c r="AA23" s="49">
        <f t="shared" si="3"/>
        <v>125</v>
      </c>
      <c r="AB23" s="49">
        <f t="shared" si="3"/>
        <v>1250</v>
      </c>
      <c r="AC23" s="49">
        <f t="shared" si="3"/>
        <v>378.53619136377756</v>
      </c>
      <c r="AD23" s="49">
        <f t="shared" si="3"/>
        <v>4606.113281828396</v>
      </c>
      <c r="AE23" s="49">
        <f t="shared" si="3"/>
        <v>13.966019417475728</v>
      </c>
      <c r="AF23" s="49">
        <f t="shared" si="3"/>
        <v>210</v>
      </c>
      <c r="AG23" s="49">
        <f t="shared" si="3"/>
        <v>245</v>
      </c>
      <c r="AH23" s="49">
        <f t="shared" si="3"/>
        <v>3582.547169811321</v>
      </c>
      <c r="AI23" s="49">
        <f t="shared" si="3"/>
        <v>270</v>
      </c>
      <c r="AJ23" s="49">
        <f t="shared" si="3"/>
        <v>3308.571428571429</v>
      </c>
      <c r="AL23" s="48" t="s">
        <v>35</v>
      </c>
      <c r="AM23" s="49">
        <f t="shared" si="3"/>
        <v>10</v>
      </c>
      <c r="AN23" s="49">
        <f t="shared" si="3"/>
        <v>15</v>
      </c>
      <c r="AO23" s="49">
        <f t="shared" si="3"/>
        <v>265</v>
      </c>
      <c r="AP23" s="49">
        <f t="shared" si="3"/>
        <v>4584.5</v>
      </c>
      <c r="AQ23" s="49">
        <f t="shared" si="3"/>
        <v>560</v>
      </c>
      <c r="AR23" s="49">
        <f t="shared" si="3"/>
        <v>9156.923076923076</v>
      </c>
      <c r="AS23" s="49">
        <f t="shared" si="3"/>
        <v>0</v>
      </c>
      <c r="AT23" s="49">
        <f t="shared" si="3"/>
        <v>0</v>
      </c>
      <c r="AU23" s="49">
        <f t="shared" si="3"/>
        <v>215</v>
      </c>
      <c r="AV23" s="49">
        <f t="shared" si="3"/>
        <v>2031.629213483146</v>
      </c>
      <c r="AW23" s="49">
        <f t="shared" si="3"/>
        <v>340</v>
      </c>
      <c r="AX23" s="49">
        <f t="shared" si="3"/>
        <v>4185.238095238095</v>
      </c>
      <c r="AY23" s="49">
        <f t="shared" si="3"/>
        <v>59.763636363636365</v>
      </c>
      <c r="AZ23" s="49">
        <f t="shared" si="3"/>
        <v>606</v>
      </c>
      <c r="BB23" s="48" t="s">
        <v>35</v>
      </c>
      <c r="BC23" s="49">
        <f t="shared" si="3"/>
        <v>9.721153846153847</v>
      </c>
      <c r="BD23" s="49">
        <f t="shared" si="3"/>
        <v>131.2757802061462</v>
      </c>
      <c r="BE23" s="49">
        <f t="shared" si="3"/>
        <v>228.3387972325705</v>
      </c>
      <c r="BF23" s="49">
        <f t="shared" si="3"/>
        <v>6228.087065542228</v>
      </c>
      <c r="BG23" s="49">
        <f t="shared" si="3"/>
        <v>55</v>
      </c>
      <c r="BH23" s="49">
        <f t="shared" si="3"/>
        <v>701.25</v>
      </c>
    </row>
    <row r="24" spans="2:60" ht="15">
      <c r="B24" s="43" t="s">
        <v>36</v>
      </c>
      <c r="C24" s="44">
        <v>0</v>
      </c>
      <c r="D24" s="44">
        <v>0</v>
      </c>
      <c r="E24" s="44">
        <v>5</v>
      </c>
      <c r="F24" s="44">
        <v>0</v>
      </c>
      <c r="G24" s="44">
        <v>10</v>
      </c>
      <c r="H24" s="44">
        <f>46/6*G24</f>
        <v>76.66666666666667</v>
      </c>
      <c r="I24" s="44">
        <v>10</v>
      </c>
      <c r="J24" s="44">
        <v>180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T24" s="64" t="s">
        <v>36</v>
      </c>
      <c r="U24" s="44">
        <v>0</v>
      </c>
      <c r="V24" s="44">
        <v>0</v>
      </c>
      <c r="W24" s="44">
        <v>0</v>
      </c>
      <c r="X24" s="44">
        <v>0</v>
      </c>
      <c r="Y24" s="44">
        <v>50</v>
      </c>
      <c r="Z24" s="44">
        <f>552/46*Y24</f>
        <v>600</v>
      </c>
      <c r="AA24" s="44">
        <v>80</v>
      </c>
      <c r="AB24" s="44">
        <f>1120/80*AA24</f>
        <v>1120</v>
      </c>
      <c r="AC24" s="44">
        <v>110</v>
      </c>
      <c r="AD24" s="44">
        <f>1664/104*AC24</f>
        <v>1760</v>
      </c>
      <c r="AE24" s="44">
        <v>25</v>
      </c>
      <c r="AF24" s="44">
        <f>648/24*AE24</f>
        <v>675</v>
      </c>
      <c r="AG24" s="44">
        <v>60</v>
      </c>
      <c r="AH24" s="44">
        <f>1326/51*AG24</f>
        <v>1560</v>
      </c>
      <c r="AI24" s="44">
        <v>60</v>
      </c>
      <c r="AJ24" s="44">
        <f>1350/54*AI24</f>
        <v>1500</v>
      </c>
      <c r="AL24" s="43" t="s">
        <v>36</v>
      </c>
      <c r="AM24" s="44">
        <v>60</v>
      </c>
      <c r="AN24" s="44">
        <f>825/50*AM24</f>
        <v>990</v>
      </c>
      <c r="AO24" s="44">
        <v>20</v>
      </c>
      <c r="AP24" s="44">
        <f>252/14*AO24</f>
        <v>360</v>
      </c>
      <c r="AQ24" s="44">
        <v>200</v>
      </c>
      <c r="AR24" s="44">
        <f>3800/190*AQ24</f>
        <v>4000</v>
      </c>
      <c r="AS24" s="44">
        <v>10</v>
      </c>
      <c r="AT24" s="44">
        <v>98</v>
      </c>
      <c r="AU24" s="44">
        <v>75</v>
      </c>
      <c r="AV24" s="44">
        <f>1825/73*AU24</f>
        <v>1875</v>
      </c>
      <c r="AW24" s="44">
        <v>80</v>
      </c>
      <c r="AX24" s="44">
        <f>1400/70*AW24</f>
        <v>1600</v>
      </c>
      <c r="AY24" s="44">
        <v>60</v>
      </c>
      <c r="AZ24" s="44">
        <f>946/43*AY24</f>
        <v>1320</v>
      </c>
      <c r="BB24" s="43" t="s">
        <v>36</v>
      </c>
      <c r="BC24" s="44">
        <v>10</v>
      </c>
      <c r="BD24" s="44">
        <v>175.03437360819495</v>
      </c>
      <c r="BE24" s="44">
        <v>75</v>
      </c>
      <c r="BF24" s="44">
        <f>2016/72*BE24</f>
        <v>2100</v>
      </c>
      <c r="BG24" s="44">
        <v>70</v>
      </c>
      <c r="BH24" s="44">
        <f>1742/67*BG24</f>
        <v>1820</v>
      </c>
    </row>
    <row r="25" spans="2:60" ht="15">
      <c r="B25" s="43" t="s">
        <v>37</v>
      </c>
      <c r="C25" s="44">
        <v>0</v>
      </c>
      <c r="D25" s="44">
        <v>0</v>
      </c>
      <c r="E25" s="44">
        <v>10</v>
      </c>
      <c r="F25" s="44">
        <v>0</v>
      </c>
      <c r="G25" s="44">
        <v>40</v>
      </c>
      <c r="H25" s="44">
        <f>46/6*G25</f>
        <v>306.6666666666667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3.4315321983715763</v>
      </c>
      <c r="R25" s="44">
        <v>40.164928684566796</v>
      </c>
      <c r="T25" s="64" t="s">
        <v>37</v>
      </c>
      <c r="U25" s="44">
        <v>0</v>
      </c>
      <c r="V25" s="44">
        <v>0</v>
      </c>
      <c r="W25" s="44">
        <v>0</v>
      </c>
      <c r="X25" s="44">
        <v>0</v>
      </c>
      <c r="Y25" s="44">
        <v>175.16648764769064</v>
      </c>
      <c r="Z25" s="44">
        <f>552/46*Y25</f>
        <v>2101.9978517722875</v>
      </c>
      <c r="AA25" s="44">
        <v>49.02102102102103</v>
      </c>
      <c r="AB25" s="44">
        <f>1120/80*AA25</f>
        <v>686.2942942942943</v>
      </c>
      <c r="AC25" s="44">
        <v>50</v>
      </c>
      <c r="AD25" s="44">
        <f>1664/104*AC25</f>
        <v>800</v>
      </c>
      <c r="AE25" s="44">
        <v>55.5242718446602</v>
      </c>
      <c r="AF25" s="44">
        <f>648/24*AE25</f>
        <v>1499.1553398058254</v>
      </c>
      <c r="AG25" s="44">
        <v>50</v>
      </c>
      <c r="AH25" s="44">
        <f>1326/51*AG25</f>
        <v>1300</v>
      </c>
      <c r="AI25" s="44">
        <v>40</v>
      </c>
      <c r="AJ25" s="44">
        <f>1350/54*AI25</f>
        <v>1000</v>
      </c>
      <c r="AL25" s="43" t="s">
        <v>37</v>
      </c>
      <c r="AM25" s="44">
        <v>50</v>
      </c>
      <c r="AN25" s="44">
        <f>825/50*AM25</f>
        <v>825</v>
      </c>
      <c r="AO25" s="44">
        <v>50</v>
      </c>
      <c r="AP25" s="44">
        <f>252/14*AO25</f>
        <v>900</v>
      </c>
      <c r="AQ25" s="44">
        <v>50</v>
      </c>
      <c r="AR25" s="44">
        <f>3800/190*AQ25</f>
        <v>1000</v>
      </c>
      <c r="AS25" s="44">
        <v>0</v>
      </c>
      <c r="AT25" s="44">
        <v>0</v>
      </c>
      <c r="AU25" s="44">
        <v>575</v>
      </c>
      <c r="AV25" s="44">
        <f>1825/73*AU25</f>
        <v>14375</v>
      </c>
      <c r="AW25" s="44">
        <v>93.18058076225044</v>
      </c>
      <c r="AX25" s="44">
        <f>1400/70*AW25</f>
        <v>1863.6116152450088</v>
      </c>
      <c r="AY25" s="44">
        <v>0</v>
      </c>
      <c r="AZ25" s="44">
        <f>946/43*AY25</f>
        <v>0</v>
      </c>
      <c r="BB25" s="43" t="s">
        <v>37</v>
      </c>
      <c r="BC25" s="44">
        <v>0</v>
      </c>
      <c r="BD25" s="44">
        <v>0</v>
      </c>
      <c r="BE25" s="44">
        <v>150.8483235763704</v>
      </c>
      <c r="BF25" s="44">
        <f>2016/72*BE25</f>
        <v>4223.753060138371</v>
      </c>
      <c r="BG25" s="44">
        <v>10</v>
      </c>
      <c r="BH25" s="44">
        <f>1742/67*BG25</f>
        <v>260</v>
      </c>
    </row>
    <row r="26" spans="2:60" ht="15">
      <c r="B26" s="43" t="s">
        <v>38</v>
      </c>
      <c r="C26" s="44">
        <v>0</v>
      </c>
      <c r="D26" s="44">
        <v>0</v>
      </c>
      <c r="E26" s="44">
        <v>10</v>
      </c>
      <c r="F26" s="44">
        <v>0</v>
      </c>
      <c r="G26" s="44">
        <v>30</v>
      </c>
      <c r="H26" s="44">
        <f>46/6*G26</f>
        <v>230</v>
      </c>
      <c r="I26" s="44">
        <v>40</v>
      </c>
      <c r="J26" s="44">
        <v>600</v>
      </c>
      <c r="K26" s="44">
        <v>5</v>
      </c>
      <c r="L26" s="44">
        <v>60</v>
      </c>
      <c r="M26" s="44">
        <v>60</v>
      </c>
      <c r="N26" s="44">
        <v>840</v>
      </c>
      <c r="O26" s="44">
        <v>15</v>
      </c>
      <c r="P26" s="44">
        <v>135</v>
      </c>
      <c r="Q26" s="44">
        <v>15</v>
      </c>
      <c r="R26" s="44">
        <v>165</v>
      </c>
      <c r="T26" s="64" t="s">
        <v>38</v>
      </c>
      <c r="U26" s="44">
        <v>5</v>
      </c>
      <c r="V26" s="44">
        <v>0</v>
      </c>
      <c r="W26" s="44">
        <v>0</v>
      </c>
      <c r="X26" s="44">
        <v>0</v>
      </c>
      <c r="Y26" s="44">
        <v>60</v>
      </c>
      <c r="Z26" s="44">
        <f>552/46*Y26</f>
        <v>720</v>
      </c>
      <c r="AA26" s="44">
        <v>80</v>
      </c>
      <c r="AB26" s="44">
        <f>1120/80*AA26</f>
        <v>1120</v>
      </c>
      <c r="AC26" s="44">
        <v>95</v>
      </c>
      <c r="AD26" s="44">
        <f>1664/104*AC26</f>
        <v>1520</v>
      </c>
      <c r="AE26" s="44">
        <v>35</v>
      </c>
      <c r="AF26" s="44">
        <f>648/24*AE26</f>
        <v>945</v>
      </c>
      <c r="AG26" s="44">
        <v>29.409697821503865</v>
      </c>
      <c r="AH26" s="44">
        <f>1326/51*AG26</f>
        <v>764.6521433591005</v>
      </c>
      <c r="AI26" s="44">
        <v>45</v>
      </c>
      <c r="AJ26" s="44">
        <f>1350/54*AI26</f>
        <v>1125</v>
      </c>
      <c r="AL26" s="43" t="s">
        <v>38</v>
      </c>
      <c r="AM26" s="44">
        <v>40</v>
      </c>
      <c r="AN26" s="44">
        <f>825/50*AM26</f>
        <v>660</v>
      </c>
      <c r="AO26" s="44">
        <v>20</v>
      </c>
      <c r="AP26" s="44">
        <f>252/14*AO26</f>
        <v>360</v>
      </c>
      <c r="AQ26" s="44">
        <v>130</v>
      </c>
      <c r="AR26" s="44">
        <f>3800/190*AQ26</f>
        <v>2600</v>
      </c>
      <c r="AS26" s="44">
        <v>0</v>
      </c>
      <c r="AT26" s="44">
        <v>0</v>
      </c>
      <c r="AU26" s="44">
        <v>31.401153014652895</v>
      </c>
      <c r="AV26" s="44">
        <f>1825/73*AU26</f>
        <v>785.0288253663224</v>
      </c>
      <c r="AW26" s="44">
        <v>65</v>
      </c>
      <c r="AX26" s="44">
        <f>1400/70*AW26</f>
        <v>1300</v>
      </c>
      <c r="AY26" s="44">
        <v>60</v>
      </c>
      <c r="AZ26" s="44">
        <f>946/43*AY26</f>
        <v>1320</v>
      </c>
      <c r="BB26" s="43" t="s">
        <v>38</v>
      </c>
      <c r="BC26" s="44">
        <v>150</v>
      </c>
      <c r="BD26" s="44">
        <v>2350</v>
      </c>
      <c r="BE26" s="44">
        <v>150</v>
      </c>
      <c r="BF26" s="44">
        <f>2016/72*BE26</f>
        <v>4200</v>
      </c>
      <c r="BG26" s="44">
        <v>45</v>
      </c>
      <c r="BH26" s="44">
        <f>1742/67*BG26</f>
        <v>1170</v>
      </c>
    </row>
    <row r="27" spans="2:60" ht="15">
      <c r="B27" s="48" t="s">
        <v>127</v>
      </c>
      <c r="C27" s="49">
        <f>SUM(C24:C26)</f>
        <v>0</v>
      </c>
      <c r="D27" s="49">
        <f aca="true" t="shared" si="4" ref="D27:BH27">SUM(D24:D26)</f>
        <v>0</v>
      </c>
      <c r="E27" s="49">
        <f t="shared" si="4"/>
        <v>25</v>
      </c>
      <c r="F27" s="49">
        <f t="shared" si="4"/>
        <v>0</v>
      </c>
      <c r="G27" s="49">
        <f t="shared" si="4"/>
        <v>80</v>
      </c>
      <c r="H27" s="49">
        <f t="shared" si="4"/>
        <v>613.3333333333334</v>
      </c>
      <c r="I27" s="49">
        <f t="shared" si="4"/>
        <v>50</v>
      </c>
      <c r="J27" s="49">
        <f t="shared" si="4"/>
        <v>780</v>
      </c>
      <c r="K27" s="49">
        <f t="shared" si="4"/>
        <v>5</v>
      </c>
      <c r="L27" s="49">
        <f t="shared" si="4"/>
        <v>60</v>
      </c>
      <c r="M27" s="49">
        <f t="shared" si="4"/>
        <v>60</v>
      </c>
      <c r="N27" s="49">
        <f t="shared" si="4"/>
        <v>840</v>
      </c>
      <c r="O27" s="49">
        <f t="shared" si="4"/>
        <v>15</v>
      </c>
      <c r="P27" s="49">
        <f t="shared" si="4"/>
        <v>135</v>
      </c>
      <c r="Q27" s="49">
        <f t="shared" si="4"/>
        <v>18.431532198371578</v>
      </c>
      <c r="R27" s="49">
        <f t="shared" si="4"/>
        <v>205.1649286845668</v>
      </c>
      <c r="T27" s="65" t="s">
        <v>39</v>
      </c>
      <c r="U27" s="49">
        <f t="shared" si="4"/>
        <v>5</v>
      </c>
      <c r="V27" s="49">
        <f t="shared" si="4"/>
        <v>0</v>
      </c>
      <c r="W27" s="49">
        <f t="shared" si="4"/>
        <v>0</v>
      </c>
      <c r="X27" s="49">
        <f t="shared" si="4"/>
        <v>0</v>
      </c>
      <c r="Y27" s="49">
        <f t="shared" si="4"/>
        <v>285.16648764769064</v>
      </c>
      <c r="Z27" s="49">
        <f t="shared" si="4"/>
        <v>3421.9978517722875</v>
      </c>
      <c r="AA27" s="49">
        <f t="shared" si="4"/>
        <v>209.02102102102103</v>
      </c>
      <c r="AB27" s="49">
        <f t="shared" si="4"/>
        <v>2926.2942942942946</v>
      </c>
      <c r="AC27" s="49">
        <f t="shared" si="4"/>
        <v>255</v>
      </c>
      <c r="AD27" s="49">
        <f t="shared" si="4"/>
        <v>4080</v>
      </c>
      <c r="AE27" s="49">
        <f t="shared" si="4"/>
        <v>115.5242718446602</v>
      </c>
      <c r="AF27" s="49">
        <f t="shared" si="4"/>
        <v>3119.1553398058254</v>
      </c>
      <c r="AG27" s="49">
        <f t="shared" si="4"/>
        <v>139.40969782150387</v>
      </c>
      <c r="AH27" s="49">
        <f t="shared" si="4"/>
        <v>3624.6521433591006</v>
      </c>
      <c r="AI27" s="49">
        <f t="shared" si="4"/>
        <v>145</v>
      </c>
      <c r="AJ27" s="49">
        <f t="shared" si="4"/>
        <v>3625</v>
      </c>
      <c r="AL27" s="48" t="s">
        <v>39</v>
      </c>
      <c r="AM27" s="49">
        <f t="shared" si="4"/>
        <v>150</v>
      </c>
      <c r="AN27" s="49">
        <f t="shared" si="4"/>
        <v>2475</v>
      </c>
      <c r="AO27" s="49">
        <f t="shared" si="4"/>
        <v>90</v>
      </c>
      <c r="AP27" s="49">
        <f t="shared" si="4"/>
        <v>1620</v>
      </c>
      <c r="AQ27" s="49">
        <f t="shared" si="4"/>
        <v>380</v>
      </c>
      <c r="AR27" s="49">
        <f t="shared" si="4"/>
        <v>7600</v>
      </c>
      <c r="AS27" s="49">
        <f t="shared" si="4"/>
        <v>10</v>
      </c>
      <c r="AT27" s="49">
        <f t="shared" si="4"/>
        <v>98</v>
      </c>
      <c r="AU27" s="49">
        <f t="shared" si="4"/>
        <v>681.4011530146529</v>
      </c>
      <c r="AV27" s="49">
        <f t="shared" si="4"/>
        <v>17035.028825366324</v>
      </c>
      <c r="AW27" s="49">
        <f t="shared" si="4"/>
        <v>238.18058076225043</v>
      </c>
      <c r="AX27" s="49">
        <f t="shared" si="4"/>
        <v>4763.611615245009</v>
      </c>
      <c r="AY27" s="49">
        <f t="shared" si="4"/>
        <v>120</v>
      </c>
      <c r="AZ27" s="49">
        <f t="shared" si="4"/>
        <v>2640</v>
      </c>
      <c r="BB27" s="48" t="s">
        <v>39</v>
      </c>
      <c r="BC27" s="49">
        <f t="shared" si="4"/>
        <v>160</v>
      </c>
      <c r="BD27" s="49">
        <f t="shared" si="4"/>
        <v>2525.034373608195</v>
      </c>
      <c r="BE27" s="49">
        <f t="shared" si="4"/>
        <v>375.8483235763704</v>
      </c>
      <c r="BF27" s="49">
        <f t="shared" si="4"/>
        <v>10523.753060138371</v>
      </c>
      <c r="BG27" s="49">
        <f t="shared" si="4"/>
        <v>125</v>
      </c>
      <c r="BH27" s="49">
        <f t="shared" si="4"/>
        <v>3250</v>
      </c>
    </row>
    <row r="28" spans="2:60" ht="15">
      <c r="B28" s="43" t="s">
        <v>40</v>
      </c>
      <c r="C28" s="44">
        <v>0</v>
      </c>
      <c r="D28" s="44">
        <v>0</v>
      </c>
      <c r="E28" s="44">
        <v>45</v>
      </c>
      <c r="F28" s="44">
        <v>116.46734197001314</v>
      </c>
      <c r="G28" s="44">
        <v>250</v>
      </c>
      <c r="H28" s="44">
        <f>425/42*G28</f>
        <v>2529.7619047619046</v>
      </c>
      <c r="I28" s="44">
        <v>150</v>
      </c>
      <c r="J28" s="44">
        <f>3285/145*I28</f>
        <v>3398.2758620689656</v>
      </c>
      <c r="K28" s="44">
        <v>30</v>
      </c>
      <c r="L28" s="44">
        <f>965/25*K28</f>
        <v>1158</v>
      </c>
      <c r="M28" s="44">
        <v>0</v>
      </c>
      <c r="N28" s="44">
        <v>0</v>
      </c>
      <c r="O28" s="44">
        <v>240</v>
      </c>
      <c r="P28" s="44">
        <f>6109/235*O28</f>
        <v>6238.978723404255</v>
      </c>
      <c r="Q28" s="44">
        <v>215</v>
      </c>
      <c r="R28" s="44">
        <f>5120/200*Q28</f>
        <v>5504</v>
      </c>
      <c r="T28" s="64" t="s">
        <v>40</v>
      </c>
      <c r="U28" s="44">
        <v>100</v>
      </c>
      <c r="V28" s="44">
        <f>1920/192*U28</f>
        <v>1000</v>
      </c>
      <c r="W28" s="44">
        <v>0</v>
      </c>
      <c r="X28" s="44">
        <v>0</v>
      </c>
      <c r="Y28" s="44">
        <v>450</v>
      </c>
      <c r="Z28" s="44">
        <f>4750/435*Y28</f>
        <v>4913.793103448276</v>
      </c>
      <c r="AA28" s="44">
        <v>90</v>
      </c>
      <c r="AB28" s="44">
        <f>920/85*AA28</f>
        <v>974.1176470588235</v>
      </c>
      <c r="AC28" s="44">
        <v>300</v>
      </c>
      <c r="AD28" s="44">
        <f>4700/280*AC28</f>
        <v>5035.714285714285</v>
      </c>
      <c r="AE28" s="44">
        <v>145</v>
      </c>
      <c r="AF28" s="44">
        <f>6525/190*AE28</f>
        <v>4979.605263157895</v>
      </c>
      <c r="AG28" s="44">
        <v>180</v>
      </c>
      <c r="AH28" s="44">
        <f>4250/170*AG28</f>
        <v>4500</v>
      </c>
      <c r="AI28" s="44">
        <v>180</v>
      </c>
      <c r="AJ28" s="44">
        <f>3550/170*AI28</f>
        <v>3758.823529411765</v>
      </c>
      <c r="AL28" s="43" t="s">
        <v>40</v>
      </c>
      <c r="AM28" s="44">
        <v>260</v>
      </c>
      <c r="AN28" s="44">
        <f>9050/250*AM28</f>
        <v>9412</v>
      </c>
      <c r="AO28" s="44">
        <v>330</v>
      </c>
      <c r="AP28" s="44">
        <f>6700/325*AO28</f>
        <v>6803.076923076924</v>
      </c>
      <c r="AQ28" s="44">
        <v>260</v>
      </c>
      <c r="AR28" s="44">
        <f>5350/250*AQ28</f>
        <v>5564</v>
      </c>
      <c r="AS28" s="44">
        <v>50</v>
      </c>
      <c r="AT28" s="44">
        <v>500</v>
      </c>
      <c r="AU28" s="44">
        <v>150</v>
      </c>
      <c r="AV28" s="44">
        <f>3950/140*AU28</f>
        <v>4232.142857142857</v>
      </c>
      <c r="AW28" s="44">
        <v>115</v>
      </c>
      <c r="AX28" s="44">
        <f>1025/105*AW28</f>
        <v>1122.6190476190477</v>
      </c>
      <c r="AY28" s="44">
        <v>0</v>
      </c>
      <c r="AZ28" s="44">
        <v>0</v>
      </c>
      <c r="BB28" s="43" t="s">
        <v>40</v>
      </c>
      <c r="BC28" s="44">
        <v>60</v>
      </c>
      <c r="BD28" s="44">
        <v>900</v>
      </c>
      <c r="BE28" s="44">
        <v>460</v>
      </c>
      <c r="BF28" s="44">
        <f>20055/450*BE28</f>
        <v>20500.666666666668</v>
      </c>
      <c r="BG28" s="44">
        <v>180</v>
      </c>
      <c r="BH28" s="44">
        <f>3025/170*BG28</f>
        <v>3202.941176470588</v>
      </c>
    </row>
    <row r="29" spans="2:60" ht="15">
      <c r="B29" s="43" t="s">
        <v>41</v>
      </c>
      <c r="C29" s="44">
        <v>0</v>
      </c>
      <c r="D29" s="44">
        <v>0</v>
      </c>
      <c r="E29" s="44">
        <v>0</v>
      </c>
      <c r="F29" s="44">
        <v>0</v>
      </c>
      <c r="G29" s="44">
        <v>130</v>
      </c>
      <c r="H29" s="44">
        <f>425/42*G29</f>
        <v>1315.4761904761904</v>
      </c>
      <c r="I29" s="44">
        <v>45</v>
      </c>
      <c r="J29" s="44">
        <f>3285/145*I29</f>
        <v>1019.4827586206897</v>
      </c>
      <c r="K29" s="44">
        <v>50</v>
      </c>
      <c r="L29" s="44">
        <f>965/25*K29</f>
        <v>1930</v>
      </c>
      <c r="M29" s="44">
        <v>0</v>
      </c>
      <c r="N29" s="44">
        <v>0</v>
      </c>
      <c r="O29" s="44">
        <v>120</v>
      </c>
      <c r="P29" s="44">
        <f>6109/235*O29</f>
        <v>3119.4893617021276</v>
      </c>
      <c r="Q29" s="44">
        <v>250</v>
      </c>
      <c r="R29" s="44">
        <f>5120/200*Q29</f>
        <v>6400</v>
      </c>
      <c r="T29" s="64" t="s">
        <v>41</v>
      </c>
      <c r="U29" s="44">
        <v>0</v>
      </c>
      <c r="V29" s="44">
        <v>0</v>
      </c>
      <c r="W29" s="44">
        <v>1.1970554926387318</v>
      </c>
      <c r="X29" s="44">
        <v>13</v>
      </c>
      <c r="Y29" s="44">
        <v>556.1535982814179</v>
      </c>
      <c r="Z29" s="44">
        <f>4750/435*Y29</f>
        <v>6072.941590429276</v>
      </c>
      <c r="AA29" s="44">
        <v>110</v>
      </c>
      <c r="AB29" s="44">
        <f>920/85*AA29</f>
        <v>1190.5882352941178</v>
      </c>
      <c r="AC29" s="44">
        <v>140</v>
      </c>
      <c r="AD29" s="44">
        <f>4700/280*AC29</f>
        <v>2350</v>
      </c>
      <c r="AE29" s="44">
        <v>85</v>
      </c>
      <c r="AF29" s="44">
        <f>6525/190*AE29</f>
        <v>2919.0789473684213</v>
      </c>
      <c r="AG29" s="44">
        <v>75</v>
      </c>
      <c r="AH29" s="44">
        <f>4250/170*AG29</f>
        <v>1875</v>
      </c>
      <c r="AI29" s="44">
        <v>90</v>
      </c>
      <c r="AJ29" s="44">
        <f>3550/170*AI29</f>
        <v>1879.4117647058824</v>
      </c>
      <c r="AL29" s="43" t="s">
        <v>41</v>
      </c>
      <c r="AM29" s="44">
        <v>50</v>
      </c>
      <c r="AN29" s="44">
        <f>9050/250*AM29</f>
        <v>1810.0000000000002</v>
      </c>
      <c r="AO29" s="44">
        <v>126.2300030184123</v>
      </c>
      <c r="AP29" s="44">
        <f>6700/325*AO29</f>
        <v>2602.280062225731</v>
      </c>
      <c r="AQ29" s="44">
        <v>140</v>
      </c>
      <c r="AR29" s="44">
        <f>5350/250*AQ29</f>
        <v>2996</v>
      </c>
      <c r="AS29" s="44">
        <v>20</v>
      </c>
      <c r="AT29" s="44">
        <v>200</v>
      </c>
      <c r="AU29" s="44">
        <v>65.89094403074705</v>
      </c>
      <c r="AV29" s="44">
        <f>3950/140*AU29</f>
        <v>1859.065920867506</v>
      </c>
      <c r="AW29" s="44">
        <v>394.7468239564428</v>
      </c>
      <c r="AX29" s="44">
        <f>1025/105*AW29</f>
        <v>3853.4809005271804</v>
      </c>
      <c r="AY29" s="44">
        <v>0</v>
      </c>
      <c r="AZ29" s="44">
        <v>0</v>
      </c>
      <c r="BB29" s="43" t="s">
        <v>41</v>
      </c>
      <c r="BC29" s="44">
        <v>10</v>
      </c>
      <c r="BD29" s="44">
        <v>130</v>
      </c>
      <c r="BE29" s="44">
        <v>140</v>
      </c>
      <c r="BF29" s="44">
        <f>20055/450*BE29</f>
        <v>6239.333333333334</v>
      </c>
      <c r="BG29" s="44">
        <v>20</v>
      </c>
      <c r="BH29" s="44">
        <f>3025/170*BG29</f>
        <v>355.88235294117646</v>
      </c>
    </row>
    <row r="30" spans="2:60" ht="15">
      <c r="B30" s="48" t="s">
        <v>128</v>
      </c>
      <c r="C30" s="49">
        <f>SUM(C28:C29)</f>
        <v>0</v>
      </c>
      <c r="D30" s="49">
        <f aca="true" t="shared" si="5" ref="D30:BH30">SUM(D28:D29)</f>
        <v>0</v>
      </c>
      <c r="E30" s="49">
        <f t="shared" si="5"/>
        <v>45</v>
      </c>
      <c r="F30" s="49">
        <f t="shared" si="5"/>
        <v>116.46734197001314</v>
      </c>
      <c r="G30" s="49">
        <f t="shared" si="5"/>
        <v>380</v>
      </c>
      <c r="H30" s="49">
        <f t="shared" si="5"/>
        <v>3845.238095238095</v>
      </c>
      <c r="I30" s="49">
        <f t="shared" si="5"/>
        <v>195</v>
      </c>
      <c r="J30" s="49">
        <f t="shared" si="5"/>
        <v>4417.758620689655</v>
      </c>
      <c r="K30" s="49">
        <f t="shared" si="5"/>
        <v>80</v>
      </c>
      <c r="L30" s="49">
        <f t="shared" si="5"/>
        <v>3088</v>
      </c>
      <c r="M30" s="49">
        <f t="shared" si="5"/>
        <v>0</v>
      </c>
      <c r="N30" s="49">
        <f t="shared" si="5"/>
        <v>0</v>
      </c>
      <c r="O30" s="49">
        <f t="shared" si="5"/>
        <v>360</v>
      </c>
      <c r="P30" s="49">
        <f t="shared" si="5"/>
        <v>9358.468085106382</v>
      </c>
      <c r="Q30" s="49">
        <f t="shared" si="5"/>
        <v>465</v>
      </c>
      <c r="R30" s="49">
        <f t="shared" si="5"/>
        <v>11904</v>
      </c>
      <c r="T30" s="65" t="s">
        <v>128</v>
      </c>
      <c r="U30" s="49">
        <f t="shared" si="5"/>
        <v>100</v>
      </c>
      <c r="V30" s="49">
        <f t="shared" si="5"/>
        <v>1000</v>
      </c>
      <c r="W30" s="49">
        <f t="shared" si="5"/>
        <v>1.1970554926387318</v>
      </c>
      <c r="X30" s="49">
        <f t="shared" si="5"/>
        <v>13</v>
      </c>
      <c r="Y30" s="49">
        <f t="shared" si="5"/>
        <v>1006.1535982814179</v>
      </c>
      <c r="Z30" s="49">
        <f t="shared" si="5"/>
        <v>10986.734693877552</v>
      </c>
      <c r="AA30" s="49">
        <f t="shared" si="5"/>
        <v>200</v>
      </c>
      <c r="AB30" s="49">
        <f t="shared" si="5"/>
        <v>2164.7058823529414</v>
      </c>
      <c r="AC30" s="49">
        <f t="shared" si="5"/>
        <v>440</v>
      </c>
      <c r="AD30" s="49">
        <f t="shared" si="5"/>
        <v>7385.714285714285</v>
      </c>
      <c r="AE30" s="49">
        <f t="shared" si="5"/>
        <v>230</v>
      </c>
      <c r="AF30" s="49">
        <f t="shared" si="5"/>
        <v>7898.684210526317</v>
      </c>
      <c r="AG30" s="49">
        <f t="shared" si="5"/>
        <v>255</v>
      </c>
      <c r="AH30" s="49">
        <f t="shared" si="5"/>
        <v>6375</v>
      </c>
      <c r="AI30" s="49">
        <f t="shared" si="5"/>
        <v>270</v>
      </c>
      <c r="AJ30" s="49">
        <f t="shared" si="5"/>
        <v>5638.235294117647</v>
      </c>
      <c r="AL30" s="48" t="s">
        <v>128</v>
      </c>
      <c r="AM30" s="49">
        <f t="shared" si="5"/>
        <v>310</v>
      </c>
      <c r="AN30" s="49">
        <f t="shared" si="5"/>
        <v>11222</v>
      </c>
      <c r="AO30" s="49">
        <f t="shared" si="5"/>
        <v>456.2300030184123</v>
      </c>
      <c r="AP30" s="49">
        <f t="shared" si="5"/>
        <v>9405.356985302655</v>
      </c>
      <c r="AQ30" s="49">
        <f t="shared" si="5"/>
        <v>400</v>
      </c>
      <c r="AR30" s="49">
        <f t="shared" si="5"/>
        <v>8560</v>
      </c>
      <c r="AS30" s="49">
        <f t="shared" si="5"/>
        <v>70</v>
      </c>
      <c r="AT30" s="49">
        <f t="shared" si="5"/>
        <v>700</v>
      </c>
      <c r="AU30" s="49">
        <f t="shared" si="5"/>
        <v>215.89094403074705</v>
      </c>
      <c r="AV30" s="49">
        <f t="shared" si="5"/>
        <v>6091.208778010363</v>
      </c>
      <c r="AW30" s="49">
        <f t="shared" si="5"/>
        <v>509.7468239564428</v>
      </c>
      <c r="AX30" s="49">
        <f t="shared" si="5"/>
        <v>4976.099948146228</v>
      </c>
      <c r="AY30" s="49">
        <f t="shared" si="5"/>
        <v>0</v>
      </c>
      <c r="AZ30" s="49">
        <f t="shared" si="5"/>
        <v>0</v>
      </c>
      <c r="BB30" s="48" t="s">
        <v>128</v>
      </c>
      <c r="BC30" s="49">
        <f t="shared" si="5"/>
        <v>70</v>
      </c>
      <c r="BD30" s="49">
        <f t="shared" si="5"/>
        <v>1030</v>
      </c>
      <c r="BE30" s="49">
        <f t="shared" si="5"/>
        <v>600</v>
      </c>
      <c r="BF30" s="49">
        <f t="shared" si="5"/>
        <v>26740</v>
      </c>
      <c r="BG30" s="49">
        <f t="shared" si="5"/>
        <v>200</v>
      </c>
      <c r="BH30" s="49">
        <f t="shared" si="5"/>
        <v>3558.8235294117644</v>
      </c>
    </row>
    <row r="31" spans="2:60" ht="15">
      <c r="B31" s="43" t="s">
        <v>43</v>
      </c>
      <c r="C31" s="44">
        <v>0</v>
      </c>
      <c r="D31" s="44">
        <v>0</v>
      </c>
      <c r="E31" s="44">
        <v>15</v>
      </c>
      <c r="F31" s="44">
        <v>12.259720207369803</v>
      </c>
      <c r="G31" s="44">
        <v>110</v>
      </c>
      <c r="H31" s="44">
        <f>48/12*G31</f>
        <v>440</v>
      </c>
      <c r="I31" s="44">
        <v>85</v>
      </c>
      <c r="J31" s="44">
        <f>1200/80*I31</f>
        <v>1275</v>
      </c>
      <c r="K31" s="44">
        <v>30</v>
      </c>
      <c r="L31" s="44">
        <f>500/25*K31</f>
        <v>600</v>
      </c>
      <c r="M31" s="44">
        <v>0</v>
      </c>
      <c r="N31" s="44">
        <v>0</v>
      </c>
      <c r="O31" s="44">
        <v>110</v>
      </c>
      <c r="P31" s="44">
        <f>1500/100*O31</f>
        <v>1650</v>
      </c>
      <c r="Q31" s="44">
        <v>60</v>
      </c>
      <c r="R31" s="44">
        <v>900</v>
      </c>
      <c r="T31" s="64" t="s">
        <v>43</v>
      </c>
      <c r="U31" s="44">
        <v>5.006418485237484</v>
      </c>
      <c r="V31" s="44">
        <v>45.75738125802311</v>
      </c>
      <c r="W31" s="44">
        <v>0</v>
      </c>
      <c r="X31" s="44">
        <v>0</v>
      </c>
      <c r="Y31" s="44">
        <v>230</v>
      </c>
      <c r="Z31" s="44">
        <f>2250/225*Y31</f>
        <v>2300</v>
      </c>
      <c r="AA31" s="44">
        <v>120</v>
      </c>
      <c r="AB31" s="44">
        <v>1200</v>
      </c>
      <c r="AC31" s="44">
        <v>340</v>
      </c>
      <c r="AD31" s="44">
        <v>3610.410225632001</v>
      </c>
      <c r="AE31" s="44">
        <v>140</v>
      </c>
      <c r="AF31" s="44">
        <f>1950/130*AE31</f>
        <v>2100</v>
      </c>
      <c r="AG31" s="44">
        <v>130</v>
      </c>
      <c r="AH31" s="44">
        <f>2160/120*AG31</f>
        <v>2340</v>
      </c>
      <c r="AI31" s="44">
        <v>140</v>
      </c>
      <c r="AJ31" s="44">
        <f>1950/130*AI31</f>
        <v>2100</v>
      </c>
      <c r="AL31" s="43" t="s">
        <v>43</v>
      </c>
      <c r="AM31" s="44">
        <v>100</v>
      </c>
      <c r="AN31" s="44">
        <f>1800/90*AM31</f>
        <v>2000</v>
      </c>
      <c r="AO31" s="44">
        <v>640</v>
      </c>
      <c r="AP31" s="44">
        <f>12500/625*AO31</f>
        <v>12800</v>
      </c>
      <c r="AQ31" s="44">
        <v>400</v>
      </c>
      <c r="AR31" s="44">
        <f>7020/390*AQ31</f>
        <v>7200</v>
      </c>
      <c r="AS31" s="44">
        <v>47.97989949748744</v>
      </c>
      <c r="AT31" s="44">
        <v>609.9034544255474</v>
      </c>
      <c r="AU31" s="44">
        <v>30</v>
      </c>
      <c r="AV31" s="44">
        <v>240</v>
      </c>
      <c r="AW31" s="44">
        <v>30</v>
      </c>
      <c r="AX31" s="44">
        <f>375/25*AW31</f>
        <v>450</v>
      </c>
      <c r="AY31" s="44">
        <v>0</v>
      </c>
      <c r="AZ31" s="44">
        <v>0</v>
      </c>
      <c r="BB31" s="43" t="s">
        <v>43</v>
      </c>
      <c r="BC31" s="44">
        <v>0</v>
      </c>
      <c r="BD31" s="44">
        <v>0</v>
      </c>
      <c r="BE31" s="44">
        <v>610</v>
      </c>
      <c r="BF31" s="44">
        <f>12000/600*BE31</f>
        <v>12200</v>
      </c>
      <c r="BG31" s="44">
        <v>30</v>
      </c>
      <c r="BH31" s="44">
        <v>300</v>
      </c>
    </row>
    <row r="32" spans="2:60" ht="15">
      <c r="B32" s="43" t="s">
        <v>44</v>
      </c>
      <c r="C32" s="44">
        <v>0</v>
      </c>
      <c r="D32" s="44">
        <v>0</v>
      </c>
      <c r="E32" s="44">
        <v>5</v>
      </c>
      <c r="F32" s="44">
        <v>30.649300518424504</v>
      </c>
      <c r="G32" s="44">
        <v>20</v>
      </c>
      <c r="H32" s="44">
        <f>48/12*G32</f>
        <v>80</v>
      </c>
      <c r="I32" s="44">
        <v>15</v>
      </c>
      <c r="J32" s="44">
        <f>1200/80*I32</f>
        <v>225</v>
      </c>
      <c r="K32" s="44">
        <v>5</v>
      </c>
      <c r="L32" s="44">
        <f>500/25*K32</f>
        <v>100</v>
      </c>
      <c r="M32" s="44">
        <v>0</v>
      </c>
      <c r="N32" s="44">
        <v>0</v>
      </c>
      <c r="O32" s="44">
        <v>0</v>
      </c>
      <c r="P32" s="44">
        <f>1500/100*O32</f>
        <v>0</v>
      </c>
      <c r="Q32" s="44">
        <v>10</v>
      </c>
      <c r="R32" s="44">
        <v>120</v>
      </c>
      <c r="T32" s="64" t="s">
        <v>44</v>
      </c>
      <c r="U32" s="44">
        <v>1.251604621309371</v>
      </c>
      <c r="V32" s="44">
        <v>8</v>
      </c>
      <c r="W32" s="44">
        <v>0</v>
      </c>
      <c r="X32" s="44">
        <v>0</v>
      </c>
      <c r="Y32" s="44">
        <v>35.03329752953813</v>
      </c>
      <c r="Z32" s="44">
        <f>2250/225*Y32</f>
        <v>350.3329752953813</v>
      </c>
      <c r="AA32" s="44">
        <v>25</v>
      </c>
      <c r="AB32" s="44">
        <v>250</v>
      </c>
      <c r="AC32" s="44">
        <v>25</v>
      </c>
      <c r="AD32" s="44">
        <v>255</v>
      </c>
      <c r="AE32" s="44">
        <v>20</v>
      </c>
      <c r="AF32" s="44">
        <f>1950/130*AE32</f>
        <v>300</v>
      </c>
      <c r="AG32" s="44">
        <v>30</v>
      </c>
      <c r="AH32" s="44">
        <f>2160/120*AG32</f>
        <v>540</v>
      </c>
      <c r="AI32" s="44">
        <v>30</v>
      </c>
      <c r="AJ32" s="44">
        <f>1950/130*AI32</f>
        <v>450</v>
      </c>
      <c r="AL32" s="43" t="s">
        <v>44</v>
      </c>
      <c r="AM32" s="44">
        <v>20</v>
      </c>
      <c r="AN32" s="44">
        <f>1800/90*AM32</f>
        <v>400</v>
      </c>
      <c r="AO32" s="44">
        <v>30</v>
      </c>
      <c r="AP32" s="44">
        <f>12500/625*AO32</f>
        <v>600</v>
      </c>
      <c r="AQ32" s="44">
        <v>40</v>
      </c>
      <c r="AR32" s="44">
        <f>7020/390*AQ32</f>
        <v>720</v>
      </c>
      <c r="AS32" s="44">
        <v>10</v>
      </c>
      <c r="AT32" s="44">
        <v>87.12906491793534</v>
      </c>
      <c r="AU32" s="44">
        <v>10</v>
      </c>
      <c r="AV32" s="44">
        <v>80</v>
      </c>
      <c r="AW32" s="44">
        <v>10</v>
      </c>
      <c r="AX32" s="44">
        <f>375/25*AW32</f>
        <v>150</v>
      </c>
      <c r="AY32" s="44">
        <v>5</v>
      </c>
      <c r="AZ32" s="44">
        <v>55</v>
      </c>
      <c r="BB32" s="43" t="s">
        <v>44</v>
      </c>
      <c r="BC32" s="44">
        <v>0</v>
      </c>
      <c r="BD32" s="44">
        <v>0</v>
      </c>
      <c r="BE32" s="44">
        <v>35</v>
      </c>
      <c r="BF32" s="44">
        <f>12000/600*BE32</f>
        <v>700</v>
      </c>
      <c r="BG32" s="44">
        <v>20</v>
      </c>
      <c r="BH32" s="44">
        <v>200</v>
      </c>
    </row>
    <row r="33" spans="2:60" ht="15">
      <c r="B33" s="48" t="s">
        <v>129</v>
      </c>
      <c r="C33" s="49">
        <f>SUM(C31:C32)</f>
        <v>0</v>
      </c>
      <c r="D33" s="49">
        <f aca="true" t="shared" si="6" ref="D33:BH33">SUM(D31:D32)</f>
        <v>0</v>
      </c>
      <c r="E33" s="49">
        <f t="shared" si="6"/>
        <v>20</v>
      </c>
      <c r="F33" s="49">
        <f t="shared" si="6"/>
        <v>42.909020725794306</v>
      </c>
      <c r="G33" s="49">
        <f t="shared" si="6"/>
        <v>130</v>
      </c>
      <c r="H33" s="49">
        <f t="shared" si="6"/>
        <v>520</v>
      </c>
      <c r="I33" s="49">
        <f t="shared" si="6"/>
        <v>100</v>
      </c>
      <c r="J33" s="49">
        <f t="shared" si="6"/>
        <v>1500</v>
      </c>
      <c r="K33" s="49">
        <f t="shared" si="6"/>
        <v>35</v>
      </c>
      <c r="L33" s="49">
        <f t="shared" si="6"/>
        <v>700</v>
      </c>
      <c r="M33" s="49">
        <f t="shared" si="6"/>
        <v>0</v>
      </c>
      <c r="N33" s="49">
        <f t="shared" si="6"/>
        <v>0</v>
      </c>
      <c r="O33" s="49">
        <f t="shared" si="6"/>
        <v>110</v>
      </c>
      <c r="P33" s="49">
        <f t="shared" si="6"/>
        <v>1650</v>
      </c>
      <c r="Q33" s="49">
        <f t="shared" si="6"/>
        <v>70</v>
      </c>
      <c r="R33" s="49">
        <f t="shared" si="6"/>
        <v>1020</v>
      </c>
      <c r="T33" s="65" t="s">
        <v>45</v>
      </c>
      <c r="U33" s="49">
        <f t="shared" si="6"/>
        <v>6.258023106546855</v>
      </c>
      <c r="V33" s="49">
        <f t="shared" si="6"/>
        <v>53.75738125802311</v>
      </c>
      <c r="W33" s="49">
        <f t="shared" si="6"/>
        <v>0</v>
      </c>
      <c r="X33" s="49">
        <f t="shared" si="6"/>
        <v>0</v>
      </c>
      <c r="Y33" s="49">
        <f t="shared" si="6"/>
        <v>265.0332975295381</v>
      </c>
      <c r="Z33" s="49">
        <f t="shared" si="6"/>
        <v>2650.3329752953814</v>
      </c>
      <c r="AA33" s="49">
        <f t="shared" si="6"/>
        <v>145</v>
      </c>
      <c r="AB33" s="49">
        <f t="shared" si="6"/>
        <v>1450</v>
      </c>
      <c r="AC33" s="49">
        <f t="shared" si="6"/>
        <v>365</v>
      </c>
      <c r="AD33" s="49">
        <f t="shared" si="6"/>
        <v>3865.410225632001</v>
      </c>
      <c r="AE33" s="49">
        <f t="shared" si="6"/>
        <v>160</v>
      </c>
      <c r="AF33" s="49">
        <f t="shared" si="6"/>
        <v>2400</v>
      </c>
      <c r="AG33" s="49">
        <f t="shared" si="6"/>
        <v>160</v>
      </c>
      <c r="AH33" s="49">
        <f t="shared" si="6"/>
        <v>2880</v>
      </c>
      <c r="AI33" s="49">
        <f t="shared" si="6"/>
        <v>170</v>
      </c>
      <c r="AJ33" s="49">
        <f t="shared" si="6"/>
        <v>2550</v>
      </c>
      <c r="AL33" s="48" t="s">
        <v>45</v>
      </c>
      <c r="AM33" s="49">
        <f t="shared" si="6"/>
        <v>120</v>
      </c>
      <c r="AN33" s="49">
        <f t="shared" si="6"/>
        <v>2400</v>
      </c>
      <c r="AO33" s="49">
        <f t="shared" si="6"/>
        <v>670</v>
      </c>
      <c r="AP33" s="49">
        <f t="shared" si="6"/>
        <v>13400</v>
      </c>
      <c r="AQ33" s="49">
        <f t="shared" si="6"/>
        <v>440</v>
      </c>
      <c r="AR33" s="49">
        <f t="shared" si="6"/>
        <v>7920</v>
      </c>
      <c r="AS33" s="49">
        <f t="shared" si="6"/>
        <v>57.97989949748744</v>
      </c>
      <c r="AT33" s="49">
        <f t="shared" si="6"/>
        <v>697.0325193434827</v>
      </c>
      <c r="AU33" s="49">
        <f t="shared" si="6"/>
        <v>40</v>
      </c>
      <c r="AV33" s="49">
        <f t="shared" si="6"/>
        <v>320</v>
      </c>
      <c r="AW33" s="49">
        <f t="shared" si="6"/>
        <v>40</v>
      </c>
      <c r="AX33" s="49">
        <f t="shared" si="6"/>
        <v>600</v>
      </c>
      <c r="AY33" s="49">
        <f t="shared" si="6"/>
        <v>5</v>
      </c>
      <c r="AZ33" s="49">
        <f t="shared" si="6"/>
        <v>55</v>
      </c>
      <c r="BB33" s="48" t="s">
        <v>45</v>
      </c>
      <c r="BC33" s="49">
        <f t="shared" si="6"/>
        <v>0</v>
      </c>
      <c r="BD33" s="49">
        <f t="shared" si="6"/>
        <v>0</v>
      </c>
      <c r="BE33" s="49">
        <f t="shared" si="6"/>
        <v>645</v>
      </c>
      <c r="BF33" s="49">
        <f t="shared" si="6"/>
        <v>12900</v>
      </c>
      <c r="BG33" s="49">
        <f t="shared" si="6"/>
        <v>50</v>
      </c>
      <c r="BH33" s="49">
        <f t="shared" si="6"/>
        <v>500</v>
      </c>
    </row>
    <row r="34" spans="2:60" ht="15">
      <c r="B34" s="43" t="s">
        <v>46</v>
      </c>
      <c r="C34" s="44">
        <v>2741.2004100461304</v>
      </c>
      <c r="D34" s="44">
        <f>39200/2800*C34</f>
        <v>38376.805740645825</v>
      </c>
      <c r="E34" s="44">
        <v>1667.363608840448</v>
      </c>
      <c r="F34" s="44">
        <v>8618.58330578097</v>
      </c>
      <c r="G34" s="44">
        <v>250</v>
      </c>
      <c r="H34" s="44">
        <f>10976/1568*G34</f>
        <v>1750</v>
      </c>
      <c r="I34" s="44">
        <v>634</v>
      </c>
      <c r="J34" s="44">
        <f>9510/634*I34</f>
        <v>9510</v>
      </c>
      <c r="K34" s="44">
        <v>575</v>
      </c>
      <c r="L34" s="44">
        <f>11697/557*K34</f>
        <v>12075</v>
      </c>
      <c r="M34" s="44">
        <v>300</v>
      </c>
      <c r="N34" s="44">
        <f>3504/292*M34</f>
        <v>3600</v>
      </c>
      <c r="O34" s="44">
        <v>100</v>
      </c>
      <c r="P34" s="44">
        <f>1176/98*O34</f>
        <v>1200</v>
      </c>
      <c r="Q34" s="44">
        <v>300</v>
      </c>
      <c r="R34" s="44">
        <f>3384/282*Q34</f>
        <v>3600</v>
      </c>
      <c r="T34" s="64" t="s">
        <v>46</v>
      </c>
      <c r="U34" s="44">
        <v>210</v>
      </c>
      <c r="V34" s="44">
        <f>2484/207*U34</f>
        <v>2520</v>
      </c>
      <c r="W34" s="44">
        <v>150</v>
      </c>
      <c r="X34" s="44">
        <f>1584/132*W34</f>
        <v>1800</v>
      </c>
      <c r="Y34" s="44">
        <v>60</v>
      </c>
      <c r="Z34" s="44">
        <f>318/53*Y34</f>
        <v>360</v>
      </c>
      <c r="AA34" s="44">
        <v>60</v>
      </c>
      <c r="AB34" s="44">
        <f>324/54*AA34</f>
        <v>360</v>
      </c>
      <c r="AC34" s="44">
        <v>100</v>
      </c>
      <c r="AD34" s="44">
        <f>480/96*AC34</f>
        <v>500</v>
      </c>
      <c r="AE34" s="44">
        <v>60</v>
      </c>
      <c r="AF34" s="44">
        <f>357/51*AE34</f>
        <v>420</v>
      </c>
      <c r="AG34" s="44">
        <v>50</v>
      </c>
      <c r="AH34" s="44">
        <f>423/47*AG34</f>
        <v>450</v>
      </c>
      <c r="AI34" s="44">
        <v>100</v>
      </c>
      <c r="AJ34" s="44">
        <f>576/96*AI34</f>
        <v>600</v>
      </c>
      <c r="AL34" s="43" t="s">
        <v>46</v>
      </c>
      <c r="AM34" s="44">
        <v>80</v>
      </c>
      <c r="AN34" s="44">
        <f>740/74*AM34</f>
        <v>800</v>
      </c>
      <c r="AO34" s="44">
        <v>195</v>
      </c>
      <c r="AP34" s="44">
        <f>1146/191*AO34</f>
        <v>1170</v>
      </c>
      <c r="AQ34" s="44">
        <v>500</v>
      </c>
      <c r="AR34" s="44">
        <f>6214/478*AQ34</f>
        <v>6500</v>
      </c>
      <c r="AS34" s="44">
        <v>30</v>
      </c>
      <c r="AT34" s="44">
        <f>156/26*AS34</f>
        <v>180</v>
      </c>
      <c r="AU34" s="44">
        <v>50</v>
      </c>
      <c r="AV34" s="44">
        <f>306/51*AU34</f>
        <v>300</v>
      </c>
      <c r="AW34" s="44">
        <v>60</v>
      </c>
      <c r="AX34" s="44">
        <f>312/52*AW34</f>
        <v>360</v>
      </c>
      <c r="AY34" s="44">
        <v>50</v>
      </c>
      <c r="AZ34" s="44">
        <v>500</v>
      </c>
      <c r="BB34" s="43" t="s">
        <v>46</v>
      </c>
      <c r="BC34" s="44">
        <v>65</v>
      </c>
      <c r="BD34" s="44">
        <f>413/59*BC34</f>
        <v>455</v>
      </c>
      <c r="BE34" s="44">
        <v>380.8208621607238</v>
      </c>
      <c r="BF34" s="44">
        <f>5530/395*BE34</f>
        <v>5331.492070250133</v>
      </c>
      <c r="BG34" s="44">
        <v>130</v>
      </c>
      <c r="BH34" s="44">
        <f>882/126*BG34</f>
        <v>910</v>
      </c>
    </row>
    <row r="35" spans="2:60" ht="15">
      <c r="B35" s="43" t="s">
        <v>47</v>
      </c>
      <c r="C35" s="44">
        <v>0</v>
      </c>
      <c r="D35" s="44">
        <v>0</v>
      </c>
      <c r="E35" s="44">
        <v>8.301241295791705</v>
      </c>
      <c r="F35" s="44">
        <v>42.90902072579431</v>
      </c>
      <c r="G35" s="44">
        <v>230</v>
      </c>
      <c r="H35" s="44">
        <f>10976/1568*G35</f>
        <v>1610</v>
      </c>
      <c r="I35" s="44">
        <v>160</v>
      </c>
      <c r="J35" s="44">
        <f>9510/634*I35</f>
        <v>2400</v>
      </c>
      <c r="K35" s="44">
        <v>5</v>
      </c>
      <c r="L35" s="44">
        <f>11697/557*K35</f>
        <v>105</v>
      </c>
      <c r="M35" s="44">
        <v>10</v>
      </c>
      <c r="N35" s="44">
        <f>3504/292*M35</f>
        <v>120</v>
      </c>
      <c r="O35" s="44">
        <v>10</v>
      </c>
      <c r="P35" s="44">
        <f>1176/98*O35</f>
        <v>120</v>
      </c>
      <c r="Q35" s="44">
        <v>40</v>
      </c>
      <c r="R35" s="44">
        <f>3384/282*Q35</f>
        <v>480</v>
      </c>
      <c r="T35" s="64" t="s">
        <v>47</v>
      </c>
      <c r="U35" s="44">
        <v>10</v>
      </c>
      <c r="V35" s="44">
        <f>2484/207*U35</f>
        <v>120</v>
      </c>
      <c r="W35" s="44">
        <v>5</v>
      </c>
      <c r="X35" s="44">
        <f>1584/132*W35</f>
        <v>60</v>
      </c>
      <c r="Y35" s="44">
        <v>210</v>
      </c>
      <c r="Z35" s="44">
        <f>318/53*Y35</f>
        <v>1260</v>
      </c>
      <c r="AA35" s="44">
        <v>50</v>
      </c>
      <c r="AB35" s="44">
        <f>324/54*AA35</f>
        <v>300</v>
      </c>
      <c r="AC35" s="44">
        <v>300</v>
      </c>
      <c r="AD35" s="44">
        <f>480/96*AC35</f>
        <v>1500</v>
      </c>
      <c r="AE35" s="44">
        <v>145</v>
      </c>
      <c r="AF35" s="44">
        <f>357/51*AE35</f>
        <v>1015</v>
      </c>
      <c r="AG35" s="44">
        <v>115</v>
      </c>
      <c r="AH35" s="44">
        <f>423/47*AG35</f>
        <v>1035</v>
      </c>
      <c r="AI35" s="44">
        <v>125</v>
      </c>
      <c r="AJ35" s="44">
        <f>576/96*AI35</f>
        <v>750</v>
      </c>
      <c r="AL35" s="43" t="s">
        <v>47</v>
      </c>
      <c r="AM35" s="44">
        <v>180</v>
      </c>
      <c r="AN35" s="44">
        <f>740/74*AM35</f>
        <v>1800</v>
      </c>
      <c r="AO35" s="44">
        <v>3100</v>
      </c>
      <c r="AP35" s="44">
        <f>1146/191*AO35</f>
        <v>18600</v>
      </c>
      <c r="AQ35" s="44">
        <v>500</v>
      </c>
      <c r="AR35" s="44">
        <f>6214/478*AQ35</f>
        <v>6500</v>
      </c>
      <c r="AS35" s="44">
        <v>20</v>
      </c>
      <c r="AT35" s="44">
        <f>156/26*AS35</f>
        <v>120</v>
      </c>
      <c r="AU35" s="44">
        <v>420</v>
      </c>
      <c r="AV35" s="44">
        <f>306/51*AU35</f>
        <v>2520</v>
      </c>
      <c r="AW35" s="44">
        <v>55</v>
      </c>
      <c r="AX35" s="44">
        <f>312/52*AW35</f>
        <v>330</v>
      </c>
      <c r="AY35" s="44">
        <v>140</v>
      </c>
      <c r="AZ35" s="44">
        <v>1400</v>
      </c>
      <c r="BB35" s="43" t="s">
        <v>47</v>
      </c>
      <c r="BC35" s="44">
        <v>35</v>
      </c>
      <c r="BD35" s="44">
        <f>413/59*BC35</f>
        <v>245</v>
      </c>
      <c r="BE35" s="44">
        <v>400</v>
      </c>
      <c r="BF35" s="44">
        <f>5530/395*BE35</f>
        <v>5600</v>
      </c>
      <c r="BG35" s="44">
        <v>53.44721689059501</v>
      </c>
      <c r="BH35" s="44">
        <f>882/126*BG35</f>
        <v>374.13051823416504</v>
      </c>
    </row>
    <row r="36" spans="2:60" ht="15">
      <c r="B36" s="48" t="s">
        <v>130</v>
      </c>
      <c r="C36" s="49">
        <f>SUM(C34:C35)</f>
        <v>2741.2004100461304</v>
      </c>
      <c r="D36" s="49">
        <f aca="true" t="shared" si="7" ref="D36:BH36">SUM(D34:D35)</f>
        <v>38376.805740645825</v>
      </c>
      <c r="E36" s="49">
        <f t="shared" si="7"/>
        <v>1675.6648501362397</v>
      </c>
      <c r="F36" s="49">
        <f t="shared" si="7"/>
        <v>8661.492326506765</v>
      </c>
      <c r="G36" s="49">
        <f t="shared" si="7"/>
        <v>480</v>
      </c>
      <c r="H36" s="49">
        <f t="shared" si="7"/>
        <v>3360</v>
      </c>
      <c r="I36" s="49">
        <f t="shared" si="7"/>
        <v>794</v>
      </c>
      <c r="J36" s="49">
        <f t="shared" si="7"/>
        <v>11910</v>
      </c>
      <c r="K36" s="49">
        <f t="shared" si="7"/>
        <v>580</v>
      </c>
      <c r="L36" s="49">
        <f t="shared" si="7"/>
        <v>12180</v>
      </c>
      <c r="M36" s="49">
        <f t="shared" si="7"/>
        <v>310</v>
      </c>
      <c r="N36" s="49">
        <f t="shared" si="7"/>
        <v>3720</v>
      </c>
      <c r="O36" s="49">
        <f t="shared" si="7"/>
        <v>110</v>
      </c>
      <c r="P36" s="49">
        <f t="shared" si="7"/>
        <v>1320</v>
      </c>
      <c r="Q36" s="49">
        <f t="shared" si="7"/>
        <v>340</v>
      </c>
      <c r="R36" s="49">
        <f t="shared" si="7"/>
        <v>4080</v>
      </c>
      <c r="T36" s="65" t="s">
        <v>136</v>
      </c>
      <c r="U36" s="49">
        <f t="shared" si="7"/>
        <v>220</v>
      </c>
      <c r="V36" s="49">
        <f t="shared" si="7"/>
        <v>2640</v>
      </c>
      <c r="W36" s="49">
        <f t="shared" si="7"/>
        <v>155</v>
      </c>
      <c r="X36" s="49">
        <f t="shared" si="7"/>
        <v>1860</v>
      </c>
      <c r="Y36" s="49">
        <f t="shared" si="7"/>
        <v>270</v>
      </c>
      <c r="Z36" s="49">
        <f t="shared" si="7"/>
        <v>1620</v>
      </c>
      <c r="AA36" s="49">
        <f t="shared" si="7"/>
        <v>110</v>
      </c>
      <c r="AB36" s="49">
        <f t="shared" si="7"/>
        <v>660</v>
      </c>
      <c r="AC36" s="49">
        <f t="shared" si="7"/>
        <v>400</v>
      </c>
      <c r="AD36" s="49">
        <f t="shared" si="7"/>
        <v>2000</v>
      </c>
      <c r="AE36" s="49">
        <f t="shared" si="7"/>
        <v>205</v>
      </c>
      <c r="AF36" s="49">
        <f t="shared" si="7"/>
        <v>1435</v>
      </c>
      <c r="AG36" s="49">
        <f t="shared" si="7"/>
        <v>165</v>
      </c>
      <c r="AH36" s="49">
        <f t="shared" si="7"/>
        <v>1485</v>
      </c>
      <c r="AI36" s="49">
        <f t="shared" si="7"/>
        <v>225</v>
      </c>
      <c r="AJ36" s="49">
        <f t="shared" si="7"/>
        <v>1350</v>
      </c>
      <c r="AL36" s="48" t="s">
        <v>136</v>
      </c>
      <c r="AM36" s="49">
        <f t="shared" si="7"/>
        <v>260</v>
      </c>
      <c r="AN36" s="49">
        <f t="shared" si="7"/>
        <v>2600</v>
      </c>
      <c r="AO36" s="49">
        <f t="shared" si="7"/>
        <v>3295</v>
      </c>
      <c r="AP36" s="49">
        <f t="shared" si="7"/>
        <v>19770</v>
      </c>
      <c r="AQ36" s="49">
        <f t="shared" si="7"/>
        <v>1000</v>
      </c>
      <c r="AR36" s="49">
        <f t="shared" si="7"/>
        <v>13000</v>
      </c>
      <c r="AS36" s="49">
        <f t="shared" si="7"/>
        <v>50</v>
      </c>
      <c r="AT36" s="49">
        <f t="shared" si="7"/>
        <v>300</v>
      </c>
      <c r="AU36" s="49">
        <f t="shared" si="7"/>
        <v>470</v>
      </c>
      <c r="AV36" s="49">
        <f t="shared" si="7"/>
        <v>2820</v>
      </c>
      <c r="AW36" s="49">
        <f t="shared" si="7"/>
        <v>115</v>
      </c>
      <c r="AX36" s="49">
        <f t="shared" si="7"/>
        <v>690</v>
      </c>
      <c r="AY36" s="49">
        <f t="shared" si="7"/>
        <v>190</v>
      </c>
      <c r="AZ36" s="49">
        <f t="shared" si="7"/>
        <v>1900</v>
      </c>
      <c r="BB36" s="48" t="s">
        <v>136</v>
      </c>
      <c r="BC36" s="49">
        <f t="shared" si="7"/>
        <v>100</v>
      </c>
      <c r="BD36" s="49">
        <f t="shared" si="7"/>
        <v>700</v>
      </c>
      <c r="BE36" s="49">
        <f t="shared" si="7"/>
        <v>780.8208621607238</v>
      </c>
      <c r="BF36" s="49">
        <f t="shared" si="7"/>
        <v>10931.492070250133</v>
      </c>
      <c r="BG36" s="49">
        <f t="shared" si="7"/>
        <v>183.447216890595</v>
      </c>
      <c r="BH36" s="49">
        <f t="shared" si="7"/>
        <v>1284.130518234165</v>
      </c>
    </row>
    <row r="37" spans="2:60" ht="15">
      <c r="B37" s="43" t="s">
        <v>49</v>
      </c>
      <c r="C37" s="44">
        <v>0</v>
      </c>
      <c r="D37" s="44">
        <v>0</v>
      </c>
      <c r="E37" s="44">
        <v>393.71601574326365</v>
      </c>
      <c r="F37" s="44">
        <v>2035.113554423387</v>
      </c>
      <c r="G37" s="44">
        <v>45</v>
      </c>
      <c r="H37" s="44">
        <f>4380/365*G37</f>
        <v>540</v>
      </c>
      <c r="I37" s="44">
        <v>200</v>
      </c>
      <c r="J37" s="44">
        <f>3900/195*I37</f>
        <v>4000</v>
      </c>
      <c r="K37" s="44">
        <v>20</v>
      </c>
      <c r="L37" s="44">
        <v>400</v>
      </c>
      <c r="M37" s="44">
        <v>10</v>
      </c>
      <c r="N37" s="44">
        <v>100</v>
      </c>
      <c r="O37" s="44">
        <v>10</v>
      </c>
      <c r="P37" s="44">
        <v>120</v>
      </c>
      <c r="Q37" s="44">
        <v>90</v>
      </c>
      <c r="R37" s="44">
        <f>1600/80*Q37</f>
        <v>1800</v>
      </c>
      <c r="T37" s="64" t="s">
        <v>49</v>
      </c>
      <c r="U37" s="44">
        <v>20</v>
      </c>
      <c r="V37" s="44">
        <v>200</v>
      </c>
      <c r="W37" s="44">
        <v>5</v>
      </c>
      <c r="X37" s="44">
        <v>40.88989555807223</v>
      </c>
      <c r="Y37" s="44">
        <v>240</v>
      </c>
      <c r="Z37" s="44">
        <f>3220/230*Y37</f>
        <v>3360</v>
      </c>
      <c r="AA37" s="44">
        <v>0</v>
      </c>
      <c r="AB37" s="44">
        <v>0</v>
      </c>
      <c r="AC37" s="44">
        <v>195</v>
      </c>
      <c r="AD37" s="44">
        <f>2280/190*AC37</f>
        <v>2340</v>
      </c>
      <c r="AE37" s="44">
        <v>120</v>
      </c>
      <c r="AF37" s="44">
        <f>1725/115*AE37</f>
        <v>1800</v>
      </c>
      <c r="AG37" s="44">
        <v>100</v>
      </c>
      <c r="AH37" s="44">
        <f>1710/95*AG37</f>
        <v>1800</v>
      </c>
      <c r="AI37" s="44">
        <v>140</v>
      </c>
      <c r="AJ37" s="44">
        <f>2295/135*AI37</f>
        <v>2380</v>
      </c>
      <c r="AL37" s="43" t="s">
        <v>49</v>
      </c>
      <c r="AM37" s="44">
        <v>90</v>
      </c>
      <c r="AN37" s="44">
        <f>1600/80*AM37</f>
        <v>1800</v>
      </c>
      <c r="AO37" s="44">
        <v>100</v>
      </c>
      <c r="AP37" s="44">
        <f>1520/95*AO37</f>
        <v>1600</v>
      </c>
      <c r="AQ37" s="44">
        <v>190</v>
      </c>
      <c r="AR37" s="44">
        <f>2775/185*AQ37</f>
        <v>2850</v>
      </c>
      <c r="AS37" s="44">
        <v>70</v>
      </c>
      <c r="AT37" s="44">
        <f>900/60*AS37</f>
        <v>1050</v>
      </c>
      <c r="AU37" s="44">
        <v>30</v>
      </c>
      <c r="AV37" s="44">
        <f>250/25*AU37</f>
        <v>300</v>
      </c>
      <c r="AW37" s="44">
        <v>110</v>
      </c>
      <c r="AX37" s="44">
        <f>1500/100*AW37</f>
        <v>1650</v>
      </c>
      <c r="AY37" s="44">
        <v>0</v>
      </c>
      <c r="AZ37" s="44">
        <v>0</v>
      </c>
      <c r="BB37" s="43" t="s">
        <v>49</v>
      </c>
      <c r="BC37" s="44">
        <v>90</v>
      </c>
      <c r="BD37" s="44">
        <f>1275/85*BC37</f>
        <v>1350</v>
      </c>
      <c r="BE37" s="44">
        <v>280</v>
      </c>
      <c r="BF37" s="44">
        <f>3570/255*BE37</f>
        <v>3920</v>
      </c>
      <c r="BG37" s="44">
        <v>70</v>
      </c>
      <c r="BH37" s="44">
        <f>975/65*BG37</f>
        <v>1050</v>
      </c>
    </row>
    <row r="38" spans="2:60" ht="15">
      <c r="B38" s="43" t="s">
        <v>50</v>
      </c>
      <c r="C38" s="44">
        <v>0</v>
      </c>
      <c r="D38" s="44">
        <v>0</v>
      </c>
      <c r="E38" s="44">
        <v>35.57674841053588</v>
      </c>
      <c r="F38" s="44">
        <v>183.89580311054704</v>
      </c>
      <c r="G38" s="44">
        <v>30</v>
      </c>
      <c r="H38" s="44">
        <f>4380/365*G38</f>
        <v>360</v>
      </c>
      <c r="I38" s="44">
        <v>25</v>
      </c>
      <c r="J38" s="44">
        <f>3900/195*I38</f>
        <v>500</v>
      </c>
      <c r="K38" s="44">
        <v>0</v>
      </c>
      <c r="L38" s="44">
        <v>0</v>
      </c>
      <c r="M38" s="44">
        <v>3.5901639344262297</v>
      </c>
      <c r="N38" s="44">
        <v>60</v>
      </c>
      <c r="O38" s="44">
        <v>0</v>
      </c>
      <c r="P38" s="44">
        <v>0</v>
      </c>
      <c r="Q38" s="44">
        <v>60</v>
      </c>
      <c r="R38" s="44">
        <f>1600/80*Q38</f>
        <v>1200</v>
      </c>
      <c r="T38" s="64" t="s">
        <v>50</v>
      </c>
      <c r="U38" s="44">
        <v>2.503209242618742</v>
      </c>
      <c r="V38" s="44">
        <v>30</v>
      </c>
      <c r="W38" s="44">
        <v>0</v>
      </c>
      <c r="X38" s="44">
        <v>0</v>
      </c>
      <c r="Y38" s="44">
        <v>130</v>
      </c>
      <c r="Z38" s="44">
        <f>3220/230*Y38</f>
        <v>1820</v>
      </c>
      <c r="AA38" s="44">
        <v>40</v>
      </c>
      <c r="AB38" s="44">
        <f>525/35*AA38</f>
        <v>600</v>
      </c>
      <c r="AC38" s="44">
        <v>90</v>
      </c>
      <c r="AD38" s="44">
        <f>2280/190*AC38</f>
        <v>1080</v>
      </c>
      <c r="AE38" s="44">
        <v>80</v>
      </c>
      <c r="AF38" s="44">
        <f>1725/115*AE38</f>
        <v>1200</v>
      </c>
      <c r="AG38" s="44">
        <v>90</v>
      </c>
      <c r="AH38" s="44">
        <f>1710/95*AG38</f>
        <v>1620</v>
      </c>
      <c r="AI38" s="44">
        <v>80</v>
      </c>
      <c r="AJ38" s="44">
        <f>2295/135*AI38</f>
        <v>1360</v>
      </c>
      <c r="AL38" s="43" t="s">
        <v>50</v>
      </c>
      <c r="AM38" s="44">
        <v>30</v>
      </c>
      <c r="AN38" s="44">
        <f>1600/80*AM38</f>
        <v>600</v>
      </c>
      <c r="AO38" s="44">
        <v>5</v>
      </c>
      <c r="AP38" s="44">
        <f>1520/95*AO38</f>
        <v>80</v>
      </c>
      <c r="AQ38" s="44">
        <v>75</v>
      </c>
      <c r="AR38" s="44">
        <f>2775/185*AQ38</f>
        <v>1125</v>
      </c>
      <c r="AS38" s="44">
        <v>30</v>
      </c>
      <c r="AT38" s="44">
        <f>900/60*AS38</f>
        <v>450</v>
      </c>
      <c r="AU38" s="44">
        <v>90</v>
      </c>
      <c r="AV38" s="44">
        <f>250/25*AU38</f>
        <v>900</v>
      </c>
      <c r="AW38" s="44">
        <v>90</v>
      </c>
      <c r="AX38" s="44">
        <f>1500/100*AW38</f>
        <v>1350</v>
      </c>
      <c r="AY38" s="44">
        <v>0</v>
      </c>
      <c r="AZ38" s="44">
        <v>0</v>
      </c>
      <c r="BB38" s="43" t="s">
        <v>50</v>
      </c>
      <c r="BC38" s="44">
        <v>70</v>
      </c>
      <c r="BD38" s="44">
        <f>1275/85*BC38</f>
        <v>1050</v>
      </c>
      <c r="BE38" s="44">
        <v>200</v>
      </c>
      <c r="BF38" s="44">
        <f>3570/255*BE38</f>
        <v>2800</v>
      </c>
      <c r="BG38" s="44">
        <v>70</v>
      </c>
      <c r="BH38" s="44">
        <f>975/65*BG38</f>
        <v>1050</v>
      </c>
    </row>
    <row r="39" spans="2:60" ht="15">
      <c r="B39" s="48" t="s">
        <v>51</v>
      </c>
      <c r="C39" s="49">
        <f>SUM(C37:C38)</f>
        <v>0</v>
      </c>
      <c r="D39" s="49">
        <f aca="true" t="shared" si="8" ref="D39:BH39">SUM(D37:D38)</f>
        <v>0</v>
      </c>
      <c r="E39" s="49">
        <f t="shared" si="8"/>
        <v>429.2927641537995</v>
      </c>
      <c r="F39" s="49">
        <f t="shared" si="8"/>
        <v>2219.0093575339342</v>
      </c>
      <c r="G39" s="49">
        <f t="shared" si="8"/>
        <v>75</v>
      </c>
      <c r="H39" s="49">
        <f t="shared" si="8"/>
        <v>900</v>
      </c>
      <c r="I39" s="49">
        <f t="shared" si="8"/>
        <v>225</v>
      </c>
      <c r="J39" s="49">
        <f t="shared" si="8"/>
        <v>4500</v>
      </c>
      <c r="K39" s="49">
        <f t="shared" si="8"/>
        <v>20</v>
      </c>
      <c r="L39" s="49">
        <f t="shared" si="8"/>
        <v>400</v>
      </c>
      <c r="M39" s="49">
        <f t="shared" si="8"/>
        <v>13.59016393442623</v>
      </c>
      <c r="N39" s="49">
        <f t="shared" si="8"/>
        <v>160</v>
      </c>
      <c r="O39" s="49">
        <f t="shared" si="8"/>
        <v>10</v>
      </c>
      <c r="P39" s="49">
        <f t="shared" si="8"/>
        <v>120</v>
      </c>
      <c r="Q39" s="49">
        <f t="shared" si="8"/>
        <v>150</v>
      </c>
      <c r="R39" s="49">
        <f t="shared" si="8"/>
        <v>3000</v>
      </c>
      <c r="T39" s="65" t="s">
        <v>51</v>
      </c>
      <c r="U39" s="49">
        <f t="shared" si="8"/>
        <v>22.50320924261874</v>
      </c>
      <c r="V39" s="49">
        <f t="shared" si="8"/>
        <v>230</v>
      </c>
      <c r="W39" s="49">
        <f t="shared" si="8"/>
        <v>5</v>
      </c>
      <c r="X39" s="49">
        <f t="shared" si="8"/>
        <v>40.88989555807223</v>
      </c>
      <c r="Y39" s="49">
        <f t="shared" si="8"/>
        <v>370</v>
      </c>
      <c r="Z39" s="49">
        <f t="shared" si="8"/>
        <v>5180</v>
      </c>
      <c r="AA39" s="49">
        <f t="shared" si="8"/>
        <v>40</v>
      </c>
      <c r="AB39" s="49">
        <f t="shared" si="8"/>
        <v>600</v>
      </c>
      <c r="AC39" s="49">
        <f t="shared" si="8"/>
        <v>285</v>
      </c>
      <c r="AD39" s="49">
        <f t="shared" si="8"/>
        <v>3420</v>
      </c>
      <c r="AE39" s="49">
        <f t="shared" si="8"/>
        <v>200</v>
      </c>
      <c r="AF39" s="49">
        <f t="shared" si="8"/>
        <v>3000</v>
      </c>
      <c r="AG39" s="49">
        <f t="shared" si="8"/>
        <v>190</v>
      </c>
      <c r="AH39" s="49">
        <f t="shared" si="8"/>
        <v>3420</v>
      </c>
      <c r="AI39" s="49">
        <f t="shared" si="8"/>
        <v>220</v>
      </c>
      <c r="AJ39" s="49">
        <f t="shared" si="8"/>
        <v>3740</v>
      </c>
      <c r="AL39" s="48" t="s">
        <v>51</v>
      </c>
      <c r="AM39" s="49">
        <f t="shared" si="8"/>
        <v>120</v>
      </c>
      <c r="AN39" s="49">
        <f t="shared" si="8"/>
        <v>2400</v>
      </c>
      <c r="AO39" s="49">
        <f t="shared" si="8"/>
        <v>105</v>
      </c>
      <c r="AP39" s="49">
        <f t="shared" si="8"/>
        <v>1680</v>
      </c>
      <c r="AQ39" s="49">
        <f t="shared" si="8"/>
        <v>265</v>
      </c>
      <c r="AR39" s="49">
        <f t="shared" si="8"/>
        <v>3975</v>
      </c>
      <c r="AS39" s="49">
        <f t="shared" si="8"/>
        <v>100</v>
      </c>
      <c r="AT39" s="49">
        <f t="shared" si="8"/>
        <v>1500</v>
      </c>
      <c r="AU39" s="49">
        <f t="shared" si="8"/>
        <v>120</v>
      </c>
      <c r="AV39" s="49">
        <f t="shared" si="8"/>
        <v>1200</v>
      </c>
      <c r="AW39" s="49">
        <f t="shared" si="8"/>
        <v>200</v>
      </c>
      <c r="AX39" s="49">
        <f t="shared" si="8"/>
        <v>3000</v>
      </c>
      <c r="AY39" s="49">
        <f t="shared" si="8"/>
        <v>0</v>
      </c>
      <c r="AZ39" s="49">
        <f t="shared" si="8"/>
        <v>0</v>
      </c>
      <c r="BB39" s="48" t="s">
        <v>51</v>
      </c>
      <c r="BC39" s="49">
        <f t="shared" si="8"/>
        <v>160</v>
      </c>
      <c r="BD39" s="49">
        <f t="shared" si="8"/>
        <v>2400</v>
      </c>
      <c r="BE39" s="49">
        <f t="shared" si="8"/>
        <v>480</v>
      </c>
      <c r="BF39" s="49">
        <f t="shared" si="8"/>
        <v>6720</v>
      </c>
      <c r="BG39" s="49">
        <f t="shared" si="8"/>
        <v>140</v>
      </c>
      <c r="BH39" s="49">
        <f t="shared" si="8"/>
        <v>2100</v>
      </c>
    </row>
    <row r="40" spans="2:60" ht="15">
      <c r="B40" s="43" t="s">
        <v>60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100</v>
      </c>
      <c r="J40" s="44">
        <f aca="true" t="shared" si="9" ref="J40:J45">2850/100*I40</f>
        <v>2850</v>
      </c>
      <c r="K40" s="44">
        <v>5</v>
      </c>
      <c r="L40" s="44">
        <f aca="true" t="shared" si="10" ref="L40:L45">75/5*K40</f>
        <v>75</v>
      </c>
      <c r="M40" s="44">
        <v>0</v>
      </c>
      <c r="N40" s="44">
        <v>0</v>
      </c>
      <c r="O40" s="44">
        <v>90.93791574279379</v>
      </c>
      <c r="P40" s="44">
        <f aca="true" t="shared" si="11" ref="P40:P45">180/12*O40</f>
        <v>1364.0687361419068</v>
      </c>
      <c r="Q40" s="44">
        <v>40</v>
      </c>
      <c r="R40" s="44">
        <f aca="true" t="shared" si="12" ref="R40:R45">500/35*Q40</f>
        <v>571.4285714285714</v>
      </c>
      <c r="T40" s="64" t="s">
        <v>60</v>
      </c>
      <c r="U40" s="44">
        <v>5</v>
      </c>
      <c r="V40" s="44">
        <f aca="true" t="shared" si="13" ref="V40:V45">28/4*U40</f>
        <v>35</v>
      </c>
      <c r="W40" s="44">
        <v>0</v>
      </c>
      <c r="X40" s="44">
        <v>0</v>
      </c>
      <c r="Y40" s="44">
        <v>6</v>
      </c>
      <c r="Z40" s="44">
        <f aca="true" t="shared" si="14" ref="Z40:Z45">56/6*Y40</f>
        <v>56</v>
      </c>
      <c r="AA40" s="44">
        <v>25</v>
      </c>
      <c r="AB40" s="44">
        <f aca="true" t="shared" si="15" ref="AB40:AB45">158/27*AA40</f>
        <v>146.2962962962963</v>
      </c>
      <c r="AC40" s="44">
        <v>155</v>
      </c>
      <c r="AD40" s="44">
        <f aca="true" t="shared" si="16" ref="AD40:AD45">1850/155*AC40</f>
        <v>1850</v>
      </c>
      <c r="AE40" s="44">
        <v>120</v>
      </c>
      <c r="AF40" s="44">
        <f aca="true" t="shared" si="17" ref="AF40:AF45">1370/115*AE40</f>
        <v>1429.5652173913043</v>
      </c>
      <c r="AG40" s="44">
        <v>160</v>
      </c>
      <c r="AH40" s="44">
        <f aca="true" t="shared" si="18" ref="AH40:AH45">2300/155*AG40</f>
        <v>2374.1935483870966</v>
      </c>
      <c r="AI40" s="44">
        <v>130</v>
      </c>
      <c r="AJ40" s="44">
        <f aca="true" t="shared" si="19" ref="AJ40:AJ45">1850/125*AI40</f>
        <v>1924</v>
      </c>
      <c r="AL40" s="43" t="s">
        <v>60</v>
      </c>
      <c r="AM40" s="44">
        <v>110</v>
      </c>
      <c r="AN40" s="44">
        <f aca="true" t="shared" si="20" ref="AN40:AN45">2080/108*AM40</f>
        <v>2118.5185185185187</v>
      </c>
      <c r="AO40" s="44">
        <v>100</v>
      </c>
      <c r="AP40" s="44">
        <f aca="true" t="shared" si="21" ref="AP40:AP45">1860/96*AO40</f>
        <v>1937.5</v>
      </c>
      <c r="AQ40" s="44">
        <v>170</v>
      </c>
      <c r="AR40" s="44">
        <f aca="true" t="shared" si="22" ref="AR40:AR45">1896/162*AQ40</f>
        <v>1989.6296296296298</v>
      </c>
      <c r="AS40" s="44">
        <v>35</v>
      </c>
      <c r="AT40" s="44">
        <f aca="true" t="shared" si="23" ref="AT40:AT45">310/32*AS40</f>
        <v>339.0625</v>
      </c>
      <c r="AU40" s="44">
        <v>40</v>
      </c>
      <c r="AV40" s="44">
        <f aca="true" t="shared" si="24" ref="AV40:AV45">350/30*AU40</f>
        <v>466.66666666666663</v>
      </c>
      <c r="AW40" s="44">
        <v>25</v>
      </c>
      <c r="AX40" s="44">
        <f aca="true" t="shared" si="25" ref="AX40:AX45">200/20*AW40</f>
        <v>250</v>
      </c>
      <c r="AY40" s="44">
        <v>0</v>
      </c>
      <c r="AZ40" s="44">
        <v>0</v>
      </c>
      <c r="BB40" s="43" t="s">
        <v>60</v>
      </c>
      <c r="BC40" s="44">
        <v>40</v>
      </c>
      <c r="BD40" s="44">
        <v>160</v>
      </c>
      <c r="BE40" s="44">
        <v>40</v>
      </c>
      <c r="BF40" s="44">
        <v>400</v>
      </c>
      <c r="BG40" s="44">
        <v>25</v>
      </c>
      <c r="BH40" s="44">
        <f aca="true" t="shared" si="26" ref="BH40:BH45">210/22*BG40</f>
        <v>238.63636363636363</v>
      </c>
    </row>
    <row r="41" spans="2:60" ht="15">
      <c r="B41" s="43" t="s">
        <v>131</v>
      </c>
      <c r="C41" s="44"/>
      <c r="D41" s="44"/>
      <c r="E41" s="44"/>
      <c r="F41" s="44"/>
      <c r="G41" s="44">
        <v>150</v>
      </c>
      <c r="H41" s="44">
        <v>1500</v>
      </c>
      <c r="I41" s="44">
        <v>210</v>
      </c>
      <c r="J41" s="44">
        <f t="shared" si="9"/>
        <v>5985</v>
      </c>
      <c r="K41" s="44">
        <v>130</v>
      </c>
      <c r="L41" s="44">
        <f t="shared" si="10"/>
        <v>1950</v>
      </c>
      <c r="M41" s="44"/>
      <c r="N41" s="44"/>
      <c r="O41" s="44">
        <v>15</v>
      </c>
      <c r="P41" s="44">
        <f t="shared" si="11"/>
        <v>225</v>
      </c>
      <c r="Q41" s="44">
        <v>15</v>
      </c>
      <c r="R41" s="44">
        <f t="shared" si="12"/>
        <v>214.2857142857143</v>
      </c>
      <c r="T41" s="64" t="s">
        <v>131</v>
      </c>
      <c r="U41" s="44">
        <v>20</v>
      </c>
      <c r="V41" s="44">
        <f t="shared" si="13"/>
        <v>140</v>
      </c>
      <c r="W41" s="44"/>
      <c r="X41" s="44"/>
      <c r="Y41" s="44">
        <v>430</v>
      </c>
      <c r="Z41" s="44">
        <f t="shared" si="14"/>
        <v>4013.3333333333335</v>
      </c>
      <c r="AA41" s="44">
        <v>0</v>
      </c>
      <c r="AB41" s="44">
        <f t="shared" si="15"/>
        <v>0</v>
      </c>
      <c r="AC41" s="44">
        <v>100</v>
      </c>
      <c r="AD41" s="44">
        <f t="shared" si="16"/>
        <v>1193.5483870967741</v>
      </c>
      <c r="AE41" s="44">
        <v>280</v>
      </c>
      <c r="AF41" s="44">
        <f t="shared" si="17"/>
        <v>3335.6521739130435</v>
      </c>
      <c r="AG41" s="44">
        <v>265</v>
      </c>
      <c r="AH41" s="44">
        <f t="shared" si="18"/>
        <v>3932.258064516129</v>
      </c>
      <c r="AI41" s="44">
        <v>350</v>
      </c>
      <c r="AJ41" s="44">
        <f t="shared" si="19"/>
        <v>5180</v>
      </c>
      <c r="AL41" s="43" t="s">
        <v>131</v>
      </c>
      <c r="AM41" s="44">
        <v>310</v>
      </c>
      <c r="AN41" s="44">
        <f t="shared" si="20"/>
        <v>5970.37037037037</v>
      </c>
      <c r="AO41" s="44">
        <v>560</v>
      </c>
      <c r="AP41" s="44">
        <f t="shared" si="21"/>
        <v>10850</v>
      </c>
      <c r="AQ41" s="44">
        <v>500</v>
      </c>
      <c r="AR41" s="44">
        <f t="shared" si="22"/>
        <v>5851.851851851852</v>
      </c>
      <c r="AS41" s="44">
        <v>65</v>
      </c>
      <c r="AT41" s="44">
        <f t="shared" si="23"/>
        <v>629.6875</v>
      </c>
      <c r="AU41" s="44">
        <v>50</v>
      </c>
      <c r="AV41" s="44">
        <f t="shared" si="24"/>
        <v>583.3333333333333</v>
      </c>
      <c r="AW41" s="44">
        <v>30</v>
      </c>
      <c r="AX41" s="44">
        <f t="shared" si="25"/>
        <v>300</v>
      </c>
      <c r="AY41" s="44">
        <v>0</v>
      </c>
      <c r="AZ41" s="44">
        <v>0</v>
      </c>
      <c r="BB41" s="43" t="s">
        <v>131</v>
      </c>
      <c r="BC41" s="44">
        <v>55</v>
      </c>
      <c r="BD41" s="44">
        <v>450</v>
      </c>
      <c r="BE41" s="44">
        <v>0</v>
      </c>
      <c r="BF41" s="44">
        <v>0</v>
      </c>
      <c r="BG41" s="44">
        <v>40</v>
      </c>
      <c r="BH41" s="44">
        <f t="shared" si="26"/>
        <v>381.8181818181818</v>
      </c>
    </row>
    <row r="42" spans="2:60" ht="15">
      <c r="B42" s="43" t="s">
        <v>52</v>
      </c>
      <c r="C42" s="44"/>
      <c r="D42" s="44"/>
      <c r="E42" s="44"/>
      <c r="F42" s="44"/>
      <c r="G42" s="44">
        <v>10</v>
      </c>
      <c r="H42" s="44">
        <v>100</v>
      </c>
      <c r="I42" s="44">
        <v>0</v>
      </c>
      <c r="J42" s="44">
        <f t="shared" si="9"/>
        <v>0</v>
      </c>
      <c r="K42" s="44">
        <v>0</v>
      </c>
      <c r="L42" s="44">
        <f t="shared" si="10"/>
        <v>0</v>
      </c>
      <c r="M42" s="44"/>
      <c r="N42" s="44"/>
      <c r="O42" s="44">
        <v>5</v>
      </c>
      <c r="P42" s="44">
        <f t="shared" si="11"/>
        <v>75</v>
      </c>
      <c r="Q42" s="44">
        <v>25</v>
      </c>
      <c r="R42" s="44">
        <f t="shared" si="12"/>
        <v>357.14285714285717</v>
      </c>
      <c r="T42" s="64" t="s">
        <v>52</v>
      </c>
      <c r="U42" s="44">
        <v>5</v>
      </c>
      <c r="V42" s="44">
        <f t="shared" si="13"/>
        <v>35</v>
      </c>
      <c r="W42" s="44"/>
      <c r="X42" s="44"/>
      <c r="Y42" s="44">
        <v>10</v>
      </c>
      <c r="Z42" s="44">
        <f t="shared" si="14"/>
        <v>93.33333333333334</v>
      </c>
      <c r="AA42" s="44">
        <v>0</v>
      </c>
      <c r="AB42" s="44">
        <f t="shared" si="15"/>
        <v>0</v>
      </c>
      <c r="AC42" s="44">
        <v>10</v>
      </c>
      <c r="AD42" s="44">
        <f t="shared" si="16"/>
        <v>119.35483870967742</v>
      </c>
      <c r="AE42" s="44">
        <v>5</v>
      </c>
      <c r="AF42" s="44">
        <f t="shared" si="17"/>
        <v>59.565217391304344</v>
      </c>
      <c r="AG42" s="44">
        <v>5</v>
      </c>
      <c r="AH42" s="44">
        <f t="shared" si="18"/>
        <v>74.19354838709677</v>
      </c>
      <c r="AI42" s="44">
        <v>5</v>
      </c>
      <c r="AJ42" s="44">
        <f t="shared" si="19"/>
        <v>74</v>
      </c>
      <c r="AL42" s="43" t="s">
        <v>52</v>
      </c>
      <c r="AM42" s="44">
        <v>15</v>
      </c>
      <c r="AN42" s="44">
        <f t="shared" si="20"/>
        <v>288.8888888888889</v>
      </c>
      <c r="AO42" s="44">
        <v>30</v>
      </c>
      <c r="AP42" s="44">
        <f t="shared" si="21"/>
        <v>581.25</v>
      </c>
      <c r="AQ42" s="44">
        <v>25</v>
      </c>
      <c r="AR42" s="44">
        <f t="shared" si="22"/>
        <v>292.5925925925926</v>
      </c>
      <c r="AS42" s="44">
        <v>0</v>
      </c>
      <c r="AT42" s="44">
        <f t="shared" si="23"/>
        <v>0</v>
      </c>
      <c r="AU42" s="44">
        <v>0</v>
      </c>
      <c r="AV42" s="44">
        <f t="shared" si="24"/>
        <v>0</v>
      </c>
      <c r="AW42" s="44">
        <v>5</v>
      </c>
      <c r="AX42" s="44">
        <f t="shared" si="25"/>
        <v>50</v>
      </c>
      <c r="AY42" s="44">
        <v>0</v>
      </c>
      <c r="AZ42" s="44">
        <v>0</v>
      </c>
      <c r="BB42" s="43" t="s">
        <v>52</v>
      </c>
      <c r="BC42" s="44">
        <v>0</v>
      </c>
      <c r="BD42" s="44"/>
      <c r="BE42" s="44">
        <v>0</v>
      </c>
      <c r="BF42" s="44">
        <v>0</v>
      </c>
      <c r="BG42" s="44">
        <v>0</v>
      </c>
      <c r="BH42" s="44">
        <f t="shared" si="26"/>
        <v>0</v>
      </c>
    </row>
    <row r="43" spans="2:60" ht="15">
      <c r="B43" s="43" t="s">
        <v>53</v>
      </c>
      <c r="C43" s="44"/>
      <c r="D43" s="44"/>
      <c r="E43" s="44"/>
      <c r="F43" s="44"/>
      <c r="G43" s="44">
        <v>10</v>
      </c>
      <c r="H43" s="44">
        <v>100</v>
      </c>
      <c r="I43" s="44">
        <v>5</v>
      </c>
      <c r="J43" s="44">
        <f t="shared" si="9"/>
        <v>142.5</v>
      </c>
      <c r="K43" s="44">
        <v>5</v>
      </c>
      <c r="L43" s="44">
        <f t="shared" si="10"/>
        <v>75</v>
      </c>
      <c r="M43" s="44" t="s">
        <v>137</v>
      </c>
      <c r="N43" s="44"/>
      <c r="O43" s="44">
        <v>5</v>
      </c>
      <c r="P43" s="44">
        <f t="shared" si="11"/>
        <v>75</v>
      </c>
      <c r="Q43" s="44">
        <v>10</v>
      </c>
      <c r="R43" s="44">
        <f t="shared" si="12"/>
        <v>142.85714285714286</v>
      </c>
      <c r="T43" s="64" t="s">
        <v>53</v>
      </c>
      <c r="U43" s="44">
        <v>0</v>
      </c>
      <c r="V43" s="44">
        <f t="shared" si="13"/>
        <v>0</v>
      </c>
      <c r="W43" s="44"/>
      <c r="X43" s="44"/>
      <c r="Y43" s="44">
        <v>0</v>
      </c>
      <c r="Z43" s="44">
        <f t="shared" si="14"/>
        <v>0</v>
      </c>
      <c r="AA43" s="44">
        <v>10</v>
      </c>
      <c r="AB43" s="44">
        <f t="shared" si="15"/>
        <v>58.51851851851852</v>
      </c>
      <c r="AC43" s="44">
        <v>10</v>
      </c>
      <c r="AD43" s="44">
        <f t="shared" si="16"/>
        <v>119.35483870967742</v>
      </c>
      <c r="AE43" s="44">
        <v>10</v>
      </c>
      <c r="AF43" s="44">
        <f t="shared" si="17"/>
        <v>119.13043478260869</v>
      </c>
      <c r="AG43" s="44">
        <v>5</v>
      </c>
      <c r="AH43" s="44">
        <f t="shared" si="18"/>
        <v>74.19354838709677</v>
      </c>
      <c r="AI43" s="44">
        <v>0</v>
      </c>
      <c r="AJ43" s="44">
        <f t="shared" si="19"/>
        <v>0</v>
      </c>
      <c r="AL43" s="43" t="s">
        <v>53</v>
      </c>
      <c r="AM43" s="44">
        <v>5</v>
      </c>
      <c r="AN43" s="44">
        <f t="shared" si="20"/>
        <v>96.2962962962963</v>
      </c>
      <c r="AO43" s="44">
        <v>20</v>
      </c>
      <c r="AP43" s="44">
        <f t="shared" si="21"/>
        <v>387.5</v>
      </c>
      <c r="AQ43" s="44">
        <v>15</v>
      </c>
      <c r="AR43" s="44">
        <f t="shared" si="22"/>
        <v>175.55555555555557</v>
      </c>
      <c r="AS43" s="44">
        <v>5</v>
      </c>
      <c r="AT43" s="44">
        <f t="shared" si="23"/>
        <v>48.4375</v>
      </c>
      <c r="AU43" s="44">
        <v>5</v>
      </c>
      <c r="AV43" s="44">
        <f t="shared" si="24"/>
        <v>58.33333333333333</v>
      </c>
      <c r="AW43" s="44">
        <v>10</v>
      </c>
      <c r="AX43" s="44">
        <f t="shared" si="25"/>
        <v>100</v>
      </c>
      <c r="AY43" s="44">
        <v>0</v>
      </c>
      <c r="AZ43" s="44">
        <v>0</v>
      </c>
      <c r="BB43" s="43" t="s">
        <v>53</v>
      </c>
      <c r="BC43" s="44">
        <v>0</v>
      </c>
      <c r="BD43" s="44"/>
      <c r="BE43" s="44">
        <v>0</v>
      </c>
      <c r="BF43" s="44">
        <v>0</v>
      </c>
      <c r="BG43" s="44">
        <v>0</v>
      </c>
      <c r="BH43" s="44">
        <f t="shared" si="26"/>
        <v>0</v>
      </c>
    </row>
    <row r="44" spans="2:60" ht="15">
      <c r="B44" s="43" t="s">
        <v>54</v>
      </c>
      <c r="C44" s="44"/>
      <c r="D44" s="44"/>
      <c r="E44" s="44"/>
      <c r="F44" s="44"/>
      <c r="G44" s="44">
        <v>5</v>
      </c>
      <c r="H44" s="44">
        <v>50</v>
      </c>
      <c r="I44" s="44">
        <v>5</v>
      </c>
      <c r="J44" s="44">
        <f t="shared" si="9"/>
        <v>142.5</v>
      </c>
      <c r="K44" s="44">
        <v>0</v>
      </c>
      <c r="L44" s="44">
        <f t="shared" si="10"/>
        <v>0</v>
      </c>
      <c r="M44" s="44"/>
      <c r="N44" s="44"/>
      <c r="O44" s="44">
        <v>0</v>
      </c>
      <c r="P44" s="44">
        <f t="shared" si="11"/>
        <v>0</v>
      </c>
      <c r="Q44" s="44">
        <v>5</v>
      </c>
      <c r="R44" s="44">
        <f t="shared" si="12"/>
        <v>71.42857142857143</v>
      </c>
      <c r="T44" s="64" t="s">
        <v>54</v>
      </c>
      <c r="U44" s="44">
        <v>0</v>
      </c>
      <c r="V44" s="44">
        <f t="shared" si="13"/>
        <v>0</v>
      </c>
      <c r="W44" s="44"/>
      <c r="X44" s="44"/>
      <c r="Y44" s="44">
        <v>0</v>
      </c>
      <c r="Z44" s="44">
        <f t="shared" si="14"/>
        <v>0</v>
      </c>
      <c r="AA44" s="44">
        <v>5</v>
      </c>
      <c r="AB44" s="44">
        <f t="shared" si="15"/>
        <v>29.25925925925926</v>
      </c>
      <c r="AC44" s="44">
        <v>15</v>
      </c>
      <c r="AD44" s="44">
        <f t="shared" si="16"/>
        <v>179.03225806451613</v>
      </c>
      <c r="AE44" s="44">
        <v>10</v>
      </c>
      <c r="AF44" s="44">
        <f t="shared" si="17"/>
        <v>119.13043478260869</v>
      </c>
      <c r="AG44" s="44">
        <v>10</v>
      </c>
      <c r="AH44" s="44">
        <f t="shared" si="18"/>
        <v>148.38709677419354</v>
      </c>
      <c r="AI44" s="44">
        <v>20</v>
      </c>
      <c r="AJ44" s="44">
        <f t="shared" si="19"/>
        <v>296</v>
      </c>
      <c r="AL44" s="43" t="s">
        <v>54</v>
      </c>
      <c r="AM44" s="44">
        <v>15</v>
      </c>
      <c r="AN44" s="44">
        <f t="shared" si="20"/>
        <v>288.8888888888889</v>
      </c>
      <c r="AO44" s="44">
        <v>20</v>
      </c>
      <c r="AP44" s="44">
        <f t="shared" si="21"/>
        <v>387.5</v>
      </c>
      <c r="AQ44" s="44">
        <v>10</v>
      </c>
      <c r="AR44" s="44">
        <f t="shared" si="22"/>
        <v>117.03703703703704</v>
      </c>
      <c r="AS44" s="44">
        <v>0</v>
      </c>
      <c r="AT44" s="44">
        <f t="shared" si="23"/>
        <v>0</v>
      </c>
      <c r="AU44" s="44">
        <v>0</v>
      </c>
      <c r="AV44" s="44">
        <f t="shared" si="24"/>
        <v>0</v>
      </c>
      <c r="AW44" s="44">
        <v>2</v>
      </c>
      <c r="AX44" s="44">
        <f t="shared" si="25"/>
        <v>20</v>
      </c>
      <c r="AY44" s="44">
        <v>0</v>
      </c>
      <c r="AZ44" s="44">
        <v>0</v>
      </c>
      <c r="BB44" s="43" t="s">
        <v>54</v>
      </c>
      <c r="BC44" s="44">
        <v>0</v>
      </c>
      <c r="BD44" s="44"/>
      <c r="BE44" s="44">
        <v>0</v>
      </c>
      <c r="BF44" s="44">
        <v>0</v>
      </c>
      <c r="BG44" s="44">
        <v>0</v>
      </c>
      <c r="BH44" s="44">
        <f t="shared" si="26"/>
        <v>0</v>
      </c>
    </row>
    <row r="45" spans="2:60" ht="15">
      <c r="B45" s="43" t="s">
        <v>132</v>
      </c>
      <c r="C45" s="44"/>
      <c r="D45" s="44"/>
      <c r="E45" s="44"/>
      <c r="F45" s="44"/>
      <c r="G45" s="44">
        <v>5</v>
      </c>
      <c r="H45" s="44">
        <v>50</v>
      </c>
      <c r="I45" s="44">
        <v>0</v>
      </c>
      <c r="J45" s="44">
        <f t="shared" si="9"/>
        <v>0</v>
      </c>
      <c r="K45" s="44">
        <v>0</v>
      </c>
      <c r="L45" s="44">
        <f t="shared" si="10"/>
        <v>0</v>
      </c>
      <c r="M45" s="44"/>
      <c r="N45" s="44"/>
      <c r="O45" s="44">
        <v>0</v>
      </c>
      <c r="P45" s="44">
        <f t="shared" si="11"/>
        <v>0</v>
      </c>
      <c r="Q45" s="44">
        <v>0</v>
      </c>
      <c r="R45" s="44">
        <f t="shared" si="12"/>
        <v>0</v>
      </c>
      <c r="T45" s="64" t="s">
        <v>132</v>
      </c>
      <c r="U45" s="44">
        <v>0</v>
      </c>
      <c r="V45" s="44">
        <f t="shared" si="13"/>
        <v>0</v>
      </c>
      <c r="W45" s="44"/>
      <c r="X45" s="44"/>
      <c r="Y45" s="44">
        <v>5</v>
      </c>
      <c r="Z45" s="44">
        <f t="shared" si="14"/>
        <v>46.66666666666667</v>
      </c>
      <c r="AA45" s="44">
        <v>0</v>
      </c>
      <c r="AB45" s="44">
        <f t="shared" si="15"/>
        <v>0</v>
      </c>
      <c r="AC45" s="44">
        <v>5</v>
      </c>
      <c r="AD45" s="44">
        <f t="shared" si="16"/>
        <v>59.67741935483871</v>
      </c>
      <c r="AE45" s="44">
        <v>25</v>
      </c>
      <c r="AF45" s="44">
        <f t="shared" si="17"/>
        <v>297.82608695652175</v>
      </c>
      <c r="AG45" s="44">
        <v>5</v>
      </c>
      <c r="AH45" s="44">
        <f t="shared" si="18"/>
        <v>74.19354838709677</v>
      </c>
      <c r="AI45" s="44">
        <v>5</v>
      </c>
      <c r="AJ45" s="44">
        <f t="shared" si="19"/>
        <v>74</v>
      </c>
      <c r="AL45" s="43" t="s">
        <v>132</v>
      </c>
      <c r="AM45" s="44">
        <v>5</v>
      </c>
      <c r="AN45" s="44">
        <f t="shared" si="20"/>
        <v>96.2962962962963</v>
      </c>
      <c r="AO45" s="44">
        <v>5</v>
      </c>
      <c r="AP45" s="44">
        <f t="shared" si="21"/>
        <v>96.875</v>
      </c>
      <c r="AQ45" s="44">
        <v>5</v>
      </c>
      <c r="AR45" s="44">
        <f t="shared" si="22"/>
        <v>58.51851851851852</v>
      </c>
      <c r="AS45" s="44">
        <v>0</v>
      </c>
      <c r="AT45" s="44">
        <f t="shared" si="23"/>
        <v>0</v>
      </c>
      <c r="AU45" s="44">
        <v>5</v>
      </c>
      <c r="AV45" s="44">
        <f t="shared" si="24"/>
        <v>58.33333333333333</v>
      </c>
      <c r="AW45" s="44">
        <v>0</v>
      </c>
      <c r="AX45" s="44">
        <f t="shared" si="25"/>
        <v>0</v>
      </c>
      <c r="AY45" s="44">
        <v>0</v>
      </c>
      <c r="AZ45" s="44">
        <v>0</v>
      </c>
      <c r="BB45" s="43" t="s">
        <v>132</v>
      </c>
      <c r="BC45" s="44">
        <v>0</v>
      </c>
      <c r="BD45" s="44"/>
      <c r="BE45" s="44">
        <v>0</v>
      </c>
      <c r="BF45" s="44">
        <v>0</v>
      </c>
      <c r="BG45" s="44">
        <v>0</v>
      </c>
      <c r="BH45" s="44">
        <f t="shared" si="26"/>
        <v>0</v>
      </c>
    </row>
    <row r="46" spans="2:60" ht="15.75" thickBot="1">
      <c r="B46" s="59" t="s">
        <v>133</v>
      </c>
      <c r="C46" s="60">
        <f>SUM(C40:C45)</f>
        <v>0</v>
      </c>
      <c r="D46" s="60">
        <f aca="true" t="shared" si="27" ref="D46:J46">SUM(D40:D45)</f>
        <v>0</v>
      </c>
      <c r="E46" s="60">
        <f t="shared" si="27"/>
        <v>0</v>
      </c>
      <c r="F46" s="60">
        <f t="shared" si="27"/>
        <v>0</v>
      </c>
      <c r="G46" s="60">
        <f t="shared" si="27"/>
        <v>180</v>
      </c>
      <c r="H46" s="60">
        <f t="shared" si="27"/>
        <v>1800</v>
      </c>
      <c r="I46" s="60">
        <f t="shared" si="27"/>
        <v>320</v>
      </c>
      <c r="J46" s="60">
        <f t="shared" si="27"/>
        <v>9120</v>
      </c>
      <c r="K46" s="60">
        <f>SUM(K40:K45)</f>
        <v>140</v>
      </c>
      <c r="L46" s="60">
        <f aca="true" t="shared" si="28" ref="L46:R46">SUM(L40:L45)</f>
        <v>2100</v>
      </c>
      <c r="M46" s="60">
        <f t="shared" si="28"/>
        <v>0</v>
      </c>
      <c r="N46" s="60">
        <f t="shared" si="28"/>
        <v>0</v>
      </c>
      <c r="O46" s="60">
        <f t="shared" si="28"/>
        <v>115.93791574279379</v>
      </c>
      <c r="P46" s="60">
        <f t="shared" si="28"/>
        <v>1739.0687361419068</v>
      </c>
      <c r="Q46" s="60">
        <f t="shared" si="28"/>
        <v>95</v>
      </c>
      <c r="R46" s="60">
        <f t="shared" si="28"/>
        <v>1357.142857142857</v>
      </c>
      <c r="T46" s="66" t="s">
        <v>133</v>
      </c>
      <c r="U46" s="60">
        <f>SUM(U40:U45)</f>
        <v>30</v>
      </c>
      <c r="V46" s="60">
        <f aca="true" t="shared" si="29" ref="V46:AB46">SUM(V40:V45)</f>
        <v>210</v>
      </c>
      <c r="W46" s="60">
        <f t="shared" si="29"/>
        <v>0</v>
      </c>
      <c r="X46" s="60">
        <f t="shared" si="29"/>
        <v>0</v>
      </c>
      <c r="Y46" s="60">
        <f t="shared" si="29"/>
        <v>451</v>
      </c>
      <c r="Z46" s="60">
        <f t="shared" si="29"/>
        <v>4209.333333333334</v>
      </c>
      <c r="AA46" s="60">
        <f t="shared" si="29"/>
        <v>40</v>
      </c>
      <c r="AB46" s="60">
        <f t="shared" si="29"/>
        <v>234.0740740740741</v>
      </c>
      <c r="AC46" s="60">
        <f>SUM(AC40:AC45)</f>
        <v>295</v>
      </c>
      <c r="AD46" s="60">
        <f aca="true" t="shared" si="30" ref="AD46:AJ46">SUM(AD40:AD45)</f>
        <v>3520.967741935484</v>
      </c>
      <c r="AE46" s="60">
        <f t="shared" si="30"/>
        <v>450</v>
      </c>
      <c r="AF46" s="60">
        <f t="shared" si="30"/>
        <v>5360.869565217392</v>
      </c>
      <c r="AG46" s="60">
        <f t="shared" si="30"/>
        <v>450</v>
      </c>
      <c r="AH46" s="60">
        <f t="shared" si="30"/>
        <v>6677.419354838708</v>
      </c>
      <c r="AI46" s="60">
        <f t="shared" si="30"/>
        <v>510</v>
      </c>
      <c r="AJ46" s="60">
        <f t="shared" si="30"/>
        <v>7548</v>
      </c>
      <c r="AL46" s="59" t="s">
        <v>133</v>
      </c>
      <c r="AM46" s="60">
        <f>SUM(AM40:AM45)</f>
        <v>460</v>
      </c>
      <c r="AN46" s="60">
        <f aca="true" t="shared" si="31" ref="AN46:AT46">SUM(AN40:AN45)</f>
        <v>8859.259259259257</v>
      </c>
      <c r="AO46" s="60">
        <f t="shared" si="31"/>
        <v>735</v>
      </c>
      <c r="AP46" s="60">
        <f t="shared" si="31"/>
        <v>14240.625</v>
      </c>
      <c r="AQ46" s="60">
        <f t="shared" si="31"/>
        <v>725</v>
      </c>
      <c r="AR46" s="60">
        <f t="shared" si="31"/>
        <v>8485.185185185184</v>
      </c>
      <c r="AS46" s="60">
        <f t="shared" si="31"/>
        <v>105</v>
      </c>
      <c r="AT46" s="60">
        <f t="shared" si="31"/>
        <v>1017.1875</v>
      </c>
      <c r="AU46" s="60">
        <f>SUM(AU40:AU45)</f>
        <v>100</v>
      </c>
      <c r="AV46" s="60">
        <f aca="true" t="shared" si="32" ref="AV46:BD46">SUM(AV40:AV45)</f>
        <v>1166.6666666666665</v>
      </c>
      <c r="AW46" s="60">
        <f t="shared" si="32"/>
        <v>72</v>
      </c>
      <c r="AX46" s="60">
        <f t="shared" si="32"/>
        <v>720</v>
      </c>
      <c r="AY46" s="60">
        <f t="shared" si="32"/>
        <v>0</v>
      </c>
      <c r="AZ46" s="60">
        <f t="shared" si="32"/>
        <v>0</v>
      </c>
      <c r="BB46" s="59" t="s">
        <v>133</v>
      </c>
      <c r="BC46" s="60">
        <f t="shared" si="32"/>
        <v>95</v>
      </c>
      <c r="BD46" s="60">
        <f t="shared" si="32"/>
        <v>610</v>
      </c>
      <c r="BE46" s="60">
        <f>SUM(BE40:BE45)</f>
        <v>40</v>
      </c>
      <c r="BF46" s="60">
        <f>SUM(BF40:BF45)</f>
        <v>400</v>
      </c>
      <c r="BG46" s="60">
        <f>SUM(BG40:BG45)</f>
        <v>65</v>
      </c>
      <c r="BH46" s="60">
        <f>SUM(BH40:BH45)</f>
        <v>620.4545454545455</v>
      </c>
    </row>
    <row r="47" spans="2:60" ht="15.75" thickBot="1">
      <c r="B47" s="55" t="s">
        <v>57</v>
      </c>
      <c r="C47" s="56">
        <f>SUM(C46,C39,C36,C33,C30,C27,C23,C17,C13,C9)</f>
        <v>3586.2004100461304</v>
      </c>
      <c r="D47" s="56">
        <f aca="true" t="shared" si="33" ref="D47:J47">SUM(D46,D39,D36,D33,D30,D27,D23,D17,D13,D9)</f>
        <v>55156.805740645825</v>
      </c>
      <c r="E47" s="56">
        <f t="shared" si="33"/>
        <v>3337.6469875870416</v>
      </c>
      <c r="F47" s="56">
        <f t="shared" si="33"/>
        <v>21242.73709105372</v>
      </c>
      <c r="G47" s="56">
        <f t="shared" si="33"/>
        <v>2371.2803406671396</v>
      </c>
      <c r="H47" s="56">
        <f t="shared" si="33"/>
        <v>15426.941542936962</v>
      </c>
      <c r="I47" s="56">
        <f t="shared" si="33"/>
        <v>4235</v>
      </c>
      <c r="J47" s="56">
        <f t="shared" si="33"/>
        <v>58083.24473180077</v>
      </c>
      <c r="K47" s="56">
        <f>SUM(K9+K13+K17+K23+K27+K30+K33+K36+K39+K46)</f>
        <v>2511.643724696356</v>
      </c>
      <c r="L47" s="56">
        <f aca="true" t="shared" si="34" ref="L47:R47">SUM(L9+L13+L17+L23+L27+L30+L33+L36+L39+L46)</f>
        <v>33662.833333333336</v>
      </c>
      <c r="M47" s="56">
        <f t="shared" si="34"/>
        <v>1533.1803278688524</v>
      </c>
      <c r="N47" s="56">
        <f t="shared" si="34"/>
        <v>22816.016905737706</v>
      </c>
      <c r="O47" s="56">
        <f t="shared" si="34"/>
        <v>2790.937915742794</v>
      </c>
      <c r="P47" s="56">
        <f t="shared" si="34"/>
        <v>64564.59804573808</v>
      </c>
      <c r="Q47" s="56">
        <f t="shared" si="34"/>
        <v>2503.5351591413764</v>
      </c>
      <c r="R47" s="56">
        <f t="shared" si="34"/>
        <v>46546.281596472734</v>
      </c>
      <c r="T47" s="67" t="s">
        <v>57</v>
      </c>
      <c r="U47" s="56">
        <f>SUM(U9,U13,U17,U23,U27,U30,U33,U36,U39,U46)</f>
        <v>1044.7612323491655</v>
      </c>
      <c r="V47" s="56">
        <f aca="true" t="shared" si="35" ref="V47:AB47">SUM(V9,V13,V17,V23,V27,V30,V33,V36,V39,V46)</f>
        <v>12019.757381258023</v>
      </c>
      <c r="W47" s="56">
        <f t="shared" si="35"/>
        <v>1086.1970554926388</v>
      </c>
      <c r="X47" s="56">
        <f t="shared" si="35"/>
        <v>13077.639895558072</v>
      </c>
      <c r="Y47" s="56">
        <f t="shared" si="35"/>
        <v>4124.609559613319</v>
      </c>
      <c r="Z47" s="56">
        <f t="shared" si="35"/>
        <v>38925.38107248105</v>
      </c>
      <c r="AA47" s="56">
        <f t="shared" si="35"/>
        <v>1188.5315315315315</v>
      </c>
      <c r="AB47" s="56">
        <f t="shared" si="35"/>
        <v>12699.788965436026</v>
      </c>
      <c r="AC47" s="56">
        <f>SUM(AC46,AC39,AC36,AC33,AC30,AC27,AC23,AC17,AC13,AC9)</f>
        <v>3798.5361913637776</v>
      </c>
      <c r="AD47" s="56">
        <f aca="true" t="shared" si="36" ref="AD47:AJ47">SUM(AD46,AD39,AD36,AD33,AD30,AD27,AD23,AD17,AD13,AD9)</f>
        <v>41022.60553511017</v>
      </c>
      <c r="AE47" s="56">
        <f t="shared" si="36"/>
        <v>2474.490291262136</v>
      </c>
      <c r="AF47" s="56">
        <f t="shared" si="36"/>
        <v>39296.779338010005</v>
      </c>
      <c r="AG47" s="56">
        <f t="shared" si="36"/>
        <v>2574.409697821504</v>
      </c>
      <c r="AH47" s="56">
        <f t="shared" si="36"/>
        <v>49607.118668009134</v>
      </c>
      <c r="AI47" s="56">
        <f t="shared" si="36"/>
        <v>2866</v>
      </c>
      <c r="AJ47" s="56">
        <f t="shared" si="36"/>
        <v>46966.94957983193</v>
      </c>
      <c r="AL47" s="55" t="s">
        <v>57</v>
      </c>
      <c r="AM47" s="56">
        <f>SUM(AM46+AM39+AM36+AM33+AM30+AM27+AM23+AM17+AM13+AM9)</f>
        <v>2348.7348314606743</v>
      </c>
      <c r="AN47" s="56">
        <f aca="true" t="shared" si="37" ref="AN47:AT47">SUM(AN46+AN39+AN36+AN33+AN30+AN27+AN23+AN17+AN13+AN9)</f>
        <v>41670.36453884399</v>
      </c>
      <c r="AO47" s="56">
        <f t="shared" si="37"/>
        <v>6765.84817386055</v>
      </c>
      <c r="AP47" s="56">
        <f t="shared" si="37"/>
        <v>80408.04819301586</v>
      </c>
      <c r="AQ47" s="56">
        <f t="shared" si="37"/>
        <v>5170</v>
      </c>
      <c r="AR47" s="56">
        <f t="shared" si="37"/>
        <v>78360.68353092547</v>
      </c>
      <c r="AS47" s="56">
        <f t="shared" si="37"/>
        <v>882.9798994974874</v>
      </c>
      <c r="AT47" s="56">
        <f t="shared" si="37"/>
        <v>10340.220019343484</v>
      </c>
      <c r="AU47" s="56">
        <f>SUM(AU46+AU39+AU36+AU33+AU30+AU27+AU23+AU17+AU13+AU9)</f>
        <v>3017.2920970453997</v>
      </c>
      <c r="AV47" s="56">
        <f aca="true" t="shared" si="38" ref="AV47:BD47">SUM(AV46+AV39+AV36+AV33+AV30+AV27+AV23+AV17+AV13+AV9)</f>
        <v>40608.483759769595</v>
      </c>
      <c r="AW47" s="56">
        <f t="shared" si="38"/>
        <v>2388.5635208711433</v>
      </c>
      <c r="AX47" s="56">
        <f t="shared" si="38"/>
        <v>29237.364708998888</v>
      </c>
      <c r="AY47" s="56">
        <f t="shared" si="38"/>
        <v>459.76363636363635</v>
      </c>
      <c r="AZ47" s="56">
        <f t="shared" si="38"/>
        <v>5721</v>
      </c>
      <c r="BB47" s="55" t="s">
        <v>57</v>
      </c>
      <c r="BC47" s="56">
        <f t="shared" si="38"/>
        <v>1174.7211538461538</v>
      </c>
      <c r="BD47" s="56">
        <f t="shared" si="38"/>
        <v>14377.749208659414</v>
      </c>
      <c r="BE47" s="56">
        <f>SUM(BE46+BE39+BE36+BE33+BE30+BE27+BE23+BE17+BE13+BE9)</f>
        <v>4946.411814795104</v>
      </c>
      <c r="BF47" s="56">
        <f>SUM(BF46+BF39+BF36+BF33+BF30+BF27+BF23+BF17+BF13+BF9)</f>
        <v>110084.5371808518</v>
      </c>
      <c r="BG47" s="56">
        <f>SUM(BG46+BG39+BG36+BG33+BG30+BG27+BG23+BG17+BG13+BG9)</f>
        <v>1883.447216890595</v>
      </c>
      <c r="BH47" s="56">
        <f>SUM(BH46+BH39+BH36+BH33+BH30+BH27+BH23+BH17+BH13+BH9)</f>
        <v>25143.087164529046</v>
      </c>
    </row>
  </sheetData>
  <sheetProtection/>
  <mergeCells count="30">
    <mergeCell ref="BE4:BF4"/>
    <mergeCell ref="AE4:AF4"/>
    <mergeCell ref="AG4:AH4"/>
    <mergeCell ref="AI4:AJ4"/>
    <mergeCell ref="AS4:AT4"/>
    <mergeCell ref="AU4:AV4"/>
    <mergeCell ref="AW4:AX4"/>
    <mergeCell ref="AY4:AZ4"/>
    <mergeCell ref="BB4:BB5"/>
    <mergeCell ref="BC4:BD4"/>
    <mergeCell ref="O4:P4"/>
    <mergeCell ref="Q4:R4"/>
    <mergeCell ref="T4:T5"/>
    <mergeCell ref="U4:V4"/>
    <mergeCell ref="W4:X4"/>
    <mergeCell ref="BG4:BH4"/>
    <mergeCell ref="AL4:AL5"/>
    <mergeCell ref="AM4:AN4"/>
    <mergeCell ref="AO4:AP4"/>
    <mergeCell ref="AQ4:AR4"/>
    <mergeCell ref="Y4:Z4"/>
    <mergeCell ref="AA4:AB4"/>
    <mergeCell ref="AC4:AD4"/>
    <mergeCell ref="K4:L4"/>
    <mergeCell ref="B4:B5"/>
    <mergeCell ref="C4:D4"/>
    <mergeCell ref="E4:F4"/>
    <mergeCell ref="G4:H4"/>
    <mergeCell ref="I4:J4"/>
    <mergeCell ref="M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statdiv</dc:creator>
  <cp:keywords/>
  <dc:description/>
  <cp:lastModifiedBy>nadeesha</cp:lastModifiedBy>
  <cp:lastPrinted>2015-09-02T21:21:59Z</cp:lastPrinted>
  <dcterms:created xsi:type="dcterms:W3CDTF">2013-08-23T08:49:28Z</dcterms:created>
  <dcterms:modified xsi:type="dcterms:W3CDTF">2015-09-16T16:40:18Z</dcterms:modified>
  <cp:category/>
  <cp:version/>
  <cp:contentType/>
  <cp:contentStatus/>
</cp:coreProperties>
</file>